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74" activeTab="0"/>
  </bookViews>
  <sheets>
    <sheet name="Przedmiar" sheetId="1" r:id="rId1"/>
    <sheet name="roboty ziemne" sheetId="2" r:id="rId2"/>
    <sheet name="zdjęcie humusu" sheetId="3" r:id="rId3"/>
    <sheet name="ułożenie humusu" sheetId="4" r:id="rId4"/>
    <sheet name="w-wa wyrownawcza" sheetId="5" r:id="rId5"/>
    <sheet name="zjazdy Prawa" sheetId="6" r:id="rId6"/>
    <sheet name="zjazdy Lewa" sheetId="7" r:id="rId7"/>
    <sheet name="nawierzchnia" sheetId="8" r:id="rId8"/>
    <sheet name="chodniki" sheetId="9" r:id="rId9"/>
    <sheet name="ścieki" sheetId="10" r:id="rId10"/>
    <sheet name="rozbiórki" sheetId="11" r:id="rId11"/>
  </sheets>
  <definedNames>
    <definedName name="Excel_BuiltIn_Print_Titles_1" localSheetId="0">'Przedmiar'!#REF!</definedName>
    <definedName name="Excel_BuiltIn_Print_Titles_1" localSheetId="10">#REF!</definedName>
    <definedName name="Excel_BuiltIn_Print_Titles_1" localSheetId="5">#REF!</definedName>
    <definedName name="Excel_BuiltIn_Print_Titles_1">#REF!</definedName>
    <definedName name="_xlnm.Print_Area" localSheetId="8">'chodniki'!$A$1:$F$7</definedName>
    <definedName name="_xlnm.Print_Area" localSheetId="7">'nawierzchnia'!$A$1:$J$19</definedName>
    <definedName name="_xlnm.Print_Area" localSheetId="0">'Przedmiar'!$A$1:$F$224</definedName>
    <definedName name="_xlnm.Print_Area" localSheetId="1">'roboty ziemne'!$A$1:$I$85</definedName>
    <definedName name="_xlnm.Print_Area" localSheetId="10">'rozbiórki'!$A$1:$G$8</definedName>
    <definedName name="_xlnm.Print_Area" localSheetId="9">'ścieki'!$A$1:$F$8</definedName>
    <definedName name="_xlnm.Print_Area" localSheetId="3">'ułożenie humusu'!$A$1:$G$81</definedName>
    <definedName name="_xlnm.Print_Area" localSheetId="4">'w-wa wyrownawcza'!$A$1:$F$65</definedName>
    <definedName name="_xlnm.Print_Area" localSheetId="2">'zdjęcie humusu'!$A$1:$G$81</definedName>
    <definedName name="_xlnm.Print_Area" localSheetId="6">'zjazdy Lewa'!$A$1:$N$21</definedName>
    <definedName name="_xlnm.Print_Area" localSheetId="5">'zjazdy Prawa'!$A$1:$N$18</definedName>
  </definedNames>
  <calcPr fullCalcOnLoad="1" fullPrecision="0"/>
</workbook>
</file>

<file path=xl/sharedStrings.xml><?xml version="1.0" encoding="utf-8"?>
<sst xmlns="http://schemas.openxmlformats.org/spreadsheetml/2006/main" count="934" uniqueCount="400">
  <si>
    <t>L.p.</t>
  </si>
  <si>
    <t>Podstawa</t>
  </si>
  <si>
    <t>Opis i wyliczenia</t>
  </si>
  <si>
    <t>J.m.</t>
  </si>
  <si>
    <t>Ilość jednostek</t>
  </si>
  <si>
    <t>Razem</t>
  </si>
  <si>
    <t>SST
CPV</t>
  </si>
  <si>
    <t>01.01.01</t>
  </si>
  <si>
    <t xml:space="preserve">Odtworzenie trasy i punktów wysokościowych </t>
  </si>
  <si>
    <t>Odtworzenie trasy i punktów wysokościowych przy liniowych robotach ziemnych (drogi) w terenie równinnym</t>
  </si>
  <si>
    <t>km</t>
  </si>
  <si>
    <t>Odtworzenie trasy i punktów wysokościowych w terenie równinnym</t>
  </si>
  <si>
    <t>01.02.02</t>
  </si>
  <si>
    <t>Usunięcie warstwy humusu /darniny/</t>
  </si>
  <si>
    <t>01.02.04</t>
  </si>
  <si>
    <t>Rozbiórki elementów dróg, ogrodzeń i przepustów</t>
  </si>
  <si>
    <t>zjazdy</t>
  </si>
  <si>
    <t>m</t>
  </si>
  <si>
    <t>02.01.01</t>
  </si>
  <si>
    <t>Wykonanie wykopów</t>
  </si>
  <si>
    <t xml:space="preserve">Wykonanie wykopów mechanicznie w gruncie kat. I-VI z transportem urobku </t>
  </si>
  <si>
    <t xml:space="preserve">Wykonanie wykopów w gruncie kat. I-VI  z transportem urobku </t>
  </si>
  <si>
    <t>02.03.01</t>
  </si>
  <si>
    <t>Wykonanie nasypów</t>
  </si>
  <si>
    <t>Wykonanie nasypów mechanicznie w gruncie kat. I-VI  z pozyskaniem i transportem gruntu wraz z zagęszczeniem gruntów w nasypie i zwilżenie w miarę potrzeby warstw zagęszczanych wodą</t>
  </si>
  <si>
    <t>szt.</t>
  </si>
  <si>
    <t>szt</t>
  </si>
  <si>
    <t>04.04.02</t>
  </si>
  <si>
    <t>Podbudowy z kruszywa łamanego stabilizowanego mechanicznie</t>
  </si>
  <si>
    <t>05.03.05</t>
  </si>
  <si>
    <t>Nawierzchnia z betonu asfaltowego</t>
  </si>
  <si>
    <t>zjazdy i skrzyżowania</t>
  </si>
  <si>
    <t>06.01.01</t>
  </si>
  <si>
    <t>Tabela robót ziemnych</t>
  </si>
  <si>
    <t>Nr przekroju</t>
  </si>
  <si>
    <t>Kilometr</t>
  </si>
  <si>
    <t>Powierzchnia</t>
  </si>
  <si>
    <t>Średnia</t>
  </si>
  <si>
    <t>Odległość</t>
  </si>
  <si>
    <t>Objętość</t>
  </si>
  <si>
    <t>powierzchnia</t>
  </si>
  <si>
    <t>wykop</t>
  </si>
  <si>
    <t>nasyp</t>
  </si>
  <si>
    <t>+</t>
  </si>
  <si>
    <t>-</t>
  </si>
  <si>
    <t>mb</t>
  </si>
  <si>
    <t>Suma:</t>
  </si>
  <si>
    <t>Nr</t>
  </si>
  <si>
    <t>Km</t>
  </si>
  <si>
    <t>Długość</t>
  </si>
  <si>
    <t>przekr.</t>
  </si>
  <si>
    <t>długość</t>
  </si>
  <si>
    <t>(gr. 15cm)</t>
  </si>
  <si>
    <t>[-]</t>
  </si>
  <si>
    <t>[m]</t>
  </si>
  <si>
    <t>[m2]</t>
  </si>
  <si>
    <t>[m3]</t>
  </si>
  <si>
    <t>Suma</t>
  </si>
  <si>
    <t>m2</t>
  </si>
  <si>
    <t>Ścieki i rowy umocnione</t>
  </si>
  <si>
    <t>m3</t>
  </si>
  <si>
    <t>ZP</t>
  </si>
  <si>
    <t>ZI</t>
  </si>
  <si>
    <t>SK</t>
  </si>
  <si>
    <t>bitum</t>
  </si>
  <si>
    <t>suma</t>
  </si>
  <si>
    <t>Zjazd publiczny</t>
  </si>
  <si>
    <t>Zjazd indywidualny</t>
  </si>
  <si>
    <t>Skrzyżowanie</t>
  </si>
  <si>
    <t>Warstwa wyrównawcza</t>
  </si>
  <si>
    <t>Nawierzchnia drogi</t>
  </si>
  <si>
    <t>Pełna szerokość jezdni</t>
  </si>
  <si>
    <t>w-wa ścieralna AC gr. 4cm</t>
  </si>
  <si>
    <t>w-wa wyrównawcza AC gr. 4cm</t>
  </si>
  <si>
    <t>w-wa wyrównawcza AC</t>
  </si>
  <si>
    <t>w-wa podbudowy z kruszywa 0/31,5 gr. 20cm</t>
  </si>
  <si>
    <t>powierzchnia projektowana</t>
  </si>
  <si>
    <t>kostka</t>
  </si>
  <si>
    <t>parametry zjazdu</t>
  </si>
  <si>
    <t>np.</t>
  </si>
  <si>
    <t>kilometraż</t>
  </si>
  <si>
    <t>rodzaj</t>
  </si>
  <si>
    <t>przepusty</t>
  </si>
  <si>
    <t>ścianki czołowe</t>
  </si>
  <si>
    <t>powierzchnia likwidowana</t>
  </si>
  <si>
    <t>likwid.</t>
  </si>
  <si>
    <t>proj.</t>
  </si>
  <si>
    <t>kruszyw.</t>
  </si>
  <si>
    <t>powierzchnia do rozebrania</t>
  </si>
  <si>
    <t>Kilometraż umocniongo rowu</t>
  </si>
  <si>
    <t>Strona</t>
  </si>
  <si>
    <t>umocnienie dna rowu korytkiem betonowym typu mulda</t>
  </si>
  <si>
    <t>umocnienie skarp rowu płytami ażurowymi</t>
  </si>
  <si>
    <t>prawa</t>
  </si>
  <si>
    <t>Zdjęcie warstwy humusu o średniej grubości 10 cm.</t>
  </si>
  <si>
    <t>Zestawienie objętości humusu do zdjęcia - średnia gr. warstwy 10cm</t>
  </si>
  <si>
    <t>Zestawienie objętości humusu do ułożenia - średnia gr. warstwy 10cm</t>
  </si>
  <si>
    <t>humus do przewieziania na koszt wykonawcy na odkład</t>
  </si>
  <si>
    <t>humus do ponownego wykorzystania</t>
  </si>
  <si>
    <t>Humusowanie z obsianiem skarp przy grubości humusu 10cm</t>
  </si>
  <si>
    <t xml:space="preserve">Rozebranie ścianek czołowych i ław fundamentowych  z betonu dla przepustów z wywiezieniem materiału z rozbiórki </t>
  </si>
  <si>
    <t>wykop do przewieziania na koszt wykonawcy na odkład</t>
  </si>
  <si>
    <t>wykop do ponownego wykorzystania jako nasyp</t>
  </si>
  <si>
    <t>Wykonanie nasypów z gruntu kat. I-VI  z pozyskaniem i transportem gruntu wraz z zagęszczeniem gruntów w nasypie. Urobek pozyskany z wykopu.</t>
  </si>
  <si>
    <t>Wykonanie podbudowy z kruszywa łamanego 0/31,5, w-wa górna gr. warstwy po zagęszczeniu 15 cm</t>
  </si>
  <si>
    <t>Wykonanie podbudowy z kruszywa łamanego 0/31,5 stabilizowanego mechanicznie gr. 20cm - warstwa górna na poszerzeniach</t>
  </si>
  <si>
    <t>Wykonanie podbudowy z kruszywa łamanego 0/31,5, w-wa górna gr. warstwy po zagęszczeniu 20 cm</t>
  </si>
  <si>
    <t/>
  </si>
  <si>
    <t>pobocze</t>
  </si>
  <si>
    <t>Wykonanie warstwy ścieralnej z mieszanki mineralno-asfaltowej grysowej AC 11s, grubość warstwy po zagęszczeniu 4 cm</t>
  </si>
  <si>
    <t>Umocnienie powierzchniowe skarp rowów i ścieków</t>
  </si>
  <si>
    <t xml:space="preserve">Humusowanie z obsianiem skarp przy grubości warstwy ziemi urodzajnej (humusu) 10 cm z dowozem ziemi urodzajnej </t>
  </si>
  <si>
    <t>Umocnienie dna rowów i ścieków korytkami betonowymi typu mulda</t>
  </si>
  <si>
    <t>Umocnienie dna rowów i ścieków korytkami betonowymi typu mulda na podsypce cementowo-piaskowej 1:4 o gr. 5 cm oraz na ławie żwirowej gr. 15cm</t>
  </si>
  <si>
    <t>Umocnienie skarp płytami ażurowymi 60x40x10 cm (35kg/szt.). Wypełnienie wolnych przestrzeni humusem i obsianie trawą, podsypka cementowo-piaskowa 5cm</t>
  </si>
  <si>
    <t>Wykonanie nawierzchni żwirowej, grubość warstwy po zagęszczeniu do 30cm</t>
  </si>
  <si>
    <t>Wykonanie nawierzchni żwirowej grubości do 30cm po zagęszczeniu</t>
  </si>
  <si>
    <t>Wykonanie nawierzchni żwirowej, grubość warstwy po zagęszczeniu 15cm</t>
  </si>
  <si>
    <t>Wykonanie warstwy wyrównawczej z mieszanki mineralno-asfaltowej grysowej AC16w, grubość warstwy po zagęszczeniu 4 cm na szerokości jezdni</t>
  </si>
  <si>
    <t>Wykonanie warstwy wiążącej z mieszanki mineralno-asfaltowej grysowej AC16w, grubość warstwy po zagęszczeniu 4 cm na szerokości jezdni</t>
  </si>
  <si>
    <t>Wykonanie warstwy wiążącej z mieszanki mineralno-asfaltowej grysowej AC16w, grubość warstwy po zagęszczeniu 6 cm na szerokości jezdni</t>
  </si>
  <si>
    <t>Umocnienie skarp rowów płytami ażurowymi 60x40x10 cm typu "krata" na podsypce cementowo-piaskowej1:4 o gr. 5 cm</t>
  </si>
  <si>
    <t xml:space="preserve"> Ø400</t>
  </si>
  <si>
    <t xml:space="preserve"> Ø500</t>
  </si>
  <si>
    <t>06.02.01</t>
  </si>
  <si>
    <t>SPIS ZJAZDÓW I SKRZYŻOWAŃ - Strona Lewa</t>
  </si>
  <si>
    <t>SPIS ZJAZDÓW I SKRZYŻOWAŃ - Strona Prawa</t>
  </si>
  <si>
    <t>Wykonanie ścianek czołowych dla przepustów o średnicy 40 cm pod zjazdami i skrzyżowaniami</t>
  </si>
  <si>
    <t>Wykonanie ścianek czołowych dla przepustów o średnicy 40 cm z betonu C25/30 o szerokości 25 cm z użyciem deskowania, ścianki zbrojone dwoma rzędami siatki stalowej żebrowanej (A-III) fi 10 mm co 20 cm na podsypce piaskowej gr. 10 cm, izolowane Abizolem R+2P</t>
  </si>
  <si>
    <t>04.05.01</t>
  </si>
  <si>
    <t xml:space="preserve">Wykonanie poboczy z wysiewki kamiennej (kruszywo naturalne) lub z destruktu z frezowania skropionego emulsją asfaltową grubości 15cm po zagęszczeniu </t>
  </si>
  <si>
    <t>Wykonanie wzmocnienia podłoża geowłókniną separacyjno - filtracyjną</t>
  </si>
  <si>
    <t>Wykonanie wzmocnienia podbudowy na poszerzeniach geowłókniną separacyjno - filtracyjną</t>
  </si>
  <si>
    <t>rozebranie podbudowy z kruszywa gr 5cm</t>
  </si>
  <si>
    <t>cięcie nawierzchni piłą tarczową</t>
  </si>
  <si>
    <t>rozebranie podbudowy z kruszywa gr 10cm</t>
  </si>
  <si>
    <t>Cięcie nawierzchni piłą tarczową</t>
  </si>
  <si>
    <t>Rozebranie podbudowy z kruszywa gr. 10 cm z wywiezieniem materiału z rozbiórki na koszt wykonawcy na odkład wg uznania wraz z ewentualną utylizacją -  rozebranie istniejącej konstrukcji jezdni przy poszerzeniach</t>
  </si>
  <si>
    <t>01.02.01</t>
  </si>
  <si>
    <t>Ścinanie drzew o średnicy do 15 cm wraz z karczowaniem pni oraz wywiezieniem dłużyc, gałęzi i karpiny</t>
  </si>
  <si>
    <t>Ścinanie drzew wraz z karczowaniem pni oraz wywiezieniem dłużyc, gałęzi i karpiny. Drewno oraz materiały pozyskane przechodzą na własność Wykonawcy. Odwóz i ewentualna utylizacja pozostaje w gestii wykonawcy.</t>
  </si>
  <si>
    <t>Ścinanie drzew o średnicy 36-45 cm wraz z karczowaniem pni oraz wywiezieniem dłużyc, gałęzi i karpiny</t>
  </si>
  <si>
    <t>Ścinanie drzew o średnicy 46-55 cm wraz z karczowaniem pni oraz wywiezieniem dłużyc, gałęzi i karpiny</t>
  </si>
  <si>
    <t>Usunięcie drzew lub krzaków w warunkach normalnych</t>
  </si>
  <si>
    <t>rozebranie podbudowy z kruszywa gr 15cm</t>
  </si>
  <si>
    <r>
      <t>m</t>
    </r>
    <r>
      <rPr>
        <b/>
        <vertAlign val="superscript"/>
        <sz val="10"/>
        <rFont val="Cambria"/>
        <family val="1"/>
      </rPr>
      <t>2</t>
    </r>
  </si>
  <si>
    <r>
      <t>m</t>
    </r>
    <r>
      <rPr>
        <b/>
        <vertAlign val="superscript"/>
        <sz val="10"/>
        <rFont val="Cambria"/>
        <family val="1"/>
      </rPr>
      <t>3</t>
    </r>
  </si>
  <si>
    <t>ODCINEK NAWIERZCHNIOWY II</t>
  </si>
  <si>
    <t>przekr,</t>
  </si>
  <si>
    <t>beton</t>
  </si>
  <si>
    <t>WP</t>
  </si>
  <si>
    <t>Wejście do posesji</t>
  </si>
  <si>
    <t>,</t>
  </si>
  <si>
    <t>lewa</t>
  </si>
  <si>
    <t>odcinek nawierzchniowy V</t>
  </si>
  <si>
    <t xml:space="preserve">Wykonanie podbudowy z kruszywa łamanego 0/31,5 stabilizowanego mechanicznie gr. 15cm </t>
  </si>
  <si>
    <t xml:space="preserve">geosiatka z włókien szklanych               </t>
  </si>
  <si>
    <t>07.01.01</t>
  </si>
  <si>
    <t>Oznakowanie poziome</t>
  </si>
  <si>
    <t>&lt;P-4&gt;</t>
  </si>
  <si>
    <t>&lt;P-7d&gt;</t>
  </si>
  <si>
    <t>&lt;P-1e&gt;</t>
  </si>
  <si>
    <t>&lt;P-3a&gt;</t>
  </si>
  <si>
    <t>&lt;P-6&gt;</t>
  </si>
  <si>
    <t>&lt;P -7c&gt;</t>
  </si>
  <si>
    <t>07.02.01</t>
  </si>
  <si>
    <t>Oznakowanie pionowe</t>
  </si>
  <si>
    <t>Ustawienie słupków stalowych dla znaków drogowych</t>
  </si>
  <si>
    <t>Przymocowanie tarcz znaków drogowych odblaskowych do gotowych słupków (folia I generacji)</t>
  </si>
  <si>
    <t>D-1</t>
  </si>
  <si>
    <t>E-17a</t>
  </si>
  <si>
    <t>E-18a</t>
  </si>
  <si>
    <t>E-4</t>
  </si>
  <si>
    <t>Przymocowanie tarcz znaków drogowych odblaskowych do gotowych słupków (folia II generacji)</t>
  </si>
  <si>
    <t>A-7</t>
  </si>
  <si>
    <t>B-20</t>
  </si>
  <si>
    <t>07.05.01</t>
  </si>
  <si>
    <t>Bariery ochronne stalowe</t>
  </si>
  <si>
    <t>U-14a</t>
  </si>
  <si>
    <t>Rozebranie słupków (masztów) do znaków drogowych</t>
  </si>
  <si>
    <t>Materiały z rozbiórek nadające się do ponownego wykorzystania należy przekazać Zamawiającemu – transport na miejsce przez niego wskazane na koszt przyszłego Wykonawcy robót budowlanych. Pozostały materiał przechodzi na własność przyszłego Wykonawcy robót budowlanych, który jest odpowiedzialny za ich zagospodarowanie zgodnie z ustawą o odpadach. Transport materiału pozostaje w gestii Wykonawcy.</t>
  </si>
  <si>
    <t>Zdjęcie tarcz (tablic) znaków drogowych</t>
  </si>
  <si>
    <t>Warstwa separacyjno-filtracyjnej z geowłókniny</t>
  </si>
  <si>
    <t>04.02.01a</t>
  </si>
  <si>
    <t>Ścinanie i uzupełnianie poboczy</t>
  </si>
  <si>
    <t>06.03.01</t>
  </si>
  <si>
    <t>05.03.26a</t>
  </si>
  <si>
    <t>Zabezpieczenie geosiatką nawierzchni asfaltowych przed spękaniami odbitymi</t>
  </si>
  <si>
    <t>Cięcie nawierzchni pod ułożenie poszerzenia</t>
  </si>
  <si>
    <t>t</t>
  </si>
  <si>
    <t>PRZEDMIAR ROBÓT</t>
  </si>
  <si>
    <t>km 17+063,93</t>
  </si>
  <si>
    <t>km 17+085,16</t>
  </si>
  <si>
    <t>km 17+105,74</t>
  </si>
  <si>
    <t>km17+125,00</t>
  </si>
  <si>
    <t>km 17+150,00</t>
  </si>
  <si>
    <t>km 17+450,00</t>
  </si>
  <si>
    <t>km 17+425,00</t>
  </si>
  <si>
    <t>km 17+375,00</t>
  </si>
  <si>
    <t>km 17+350,00</t>
  </si>
  <si>
    <t>km 17+325,00</t>
  </si>
  <si>
    <t>km 17+550,00</t>
  </si>
  <si>
    <t>km 17+528,16</t>
  </si>
  <si>
    <t>km17+509,21</t>
  </si>
  <si>
    <t>km 17+250,00</t>
  </si>
  <si>
    <t>km1 7+225,00</t>
  </si>
  <si>
    <t>km 17+175,00</t>
  </si>
  <si>
    <t>km 17+200,00</t>
  </si>
  <si>
    <t>km 17+275,00</t>
  </si>
  <si>
    <t>km17+300,00</t>
  </si>
  <si>
    <t>km 17+400,00</t>
  </si>
  <si>
    <t>km 17+475,00</t>
  </si>
  <si>
    <t>km 17+490,24</t>
  </si>
  <si>
    <t>km 17+575,00</t>
  </si>
  <si>
    <t>km 17+600,00</t>
  </si>
  <si>
    <t>km 17+625,00</t>
  </si>
  <si>
    <t>km 17+650,00</t>
  </si>
  <si>
    <t>km 17+675,00</t>
  </si>
  <si>
    <t>km 17+700,00</t>
  </si>
  <si>
    <t>km 17+092,1</t>
  </si>
  <si>
    <t>km 17+244,7</t>
  </si>
  <si>
    <t>km 17+491,5</t>
  </si>
  <si>
    <t>km 17+688,8</t>
  </si>
  <si>
    <t>km 7+155,00</t>
  </si>
  <si>
    <t>km 17+093,6</t>
  </si>
  <si>
    <t>km 17+107</t>
  </si>
  <si>
    <t>km 17+195,5</t>
  </si>
  <si>
    <t>km 17+345,6</t>
  </si>
  <si>
    <t>km 17+392,6</t>
  </si>
  <si>
    <t>km 17+443,1</t>
  </si>
  <si>
    <t>km 17+468,6</t>
  </si>
  <si>
    <r>
      <t xml:space="preserve">ODCINEK NAWIERZCHNIOWY V
</t>
    </r>
    <r>
      <rPr>
        <sz val="10"/>
        <rFont val="Cambria"/>
        <family val="1"/>
      </rPr>
      <t>od km 17+063,93 do km 17+400</t>
    </r>
  </si>
  <si>
    <r>
      <t xml:space="preserve">ODCINEK NAWIERZCHNIOWY VI
</t>
    </r>
    <r>
      <rPr>
        <sz val="10"/>
        <rFont val="Cambria"/>
        <family val="1"/>
      </rPr>
      <t>od km 17+400.00 do km 17+700.00</t>
    </r>
  </si>
  <si>
    <t>w-wa wiążąca AC gr. 7cm</t>
  </si>
  <si>
    <t>w-wa wyrównawcza AC gr. 3cm</t>
  </si>
  <si>
    <t>w-wa podbudowy AC gr. 8cm</t>
  </si>
  <si>
    <t>Poszerzenie</t>
  </si>
  <si>
    <t>w-wa separacyjno - filtracyjna z geowłókniny</t>
  </si>
  <si>
    <t>17+340,8 - 17+492</t>
  </si>
  <si>
    <t>umocnienie dna rowu korytkiem żelbetowm skrzynkowym</t>
  </si>
  <si>
    <t>pokrywka do korytka skrzynkowego</t>
  </si>
  <si>
    <t>odcinek nawierzchniowy VI</t>
  </si>
  <si>
    <t>rozebranie nawierzchni bitumicznej gr. 15cm</t>
  </si>
  <si>
    <t>rozebranie podbudowy z kruszywa gr 50cm</t>
  </si>
  <si>
    <t>poszerzenia</t>
  </si>
  <si>
    <t>odcinek nawierzchniowy  V</t>
  </si>
  <si>
    <t>Podbudowy z betonu asfaltowego</t>
  </si>
  <si>
    <t>04.07.01</t>
  </si>
  <si>
    <t>Ułożenie geosiatki o Rn powyżej 80kN/m szklano - węglowej</t>
  </si>
  <si>
    <t>Ułożenie geosiatki z włukien szlanych skropiona bitumem na całej powierzchni jezdni</t>
  </si>
  <si>
    <t xml:space="preserve">w-wa wyrównawcza </t>
  </si>
  <si>
    <t>&lt;P-1a&gt;</t>
  </si>
  <si>
    <t>&lt;P -12&gt;</t>
  </si>
  <si>
    <t xml:space="preserve">Ustawienie barier ochronnych stalowych </t>
  </si>
  <si>
    <t>07.06.02</t>
  </si>
  <si>
    <t>Ustawienie barieroporęczy U-11b</t>
  </si>
  <si>
    <t>U-11b</t>
  </si>
  <si>
    <t>Ułożenie przepustów rurowych betonowych średnicy 40 cm pod zjazdami i skrzyżowaniami</t>
  </si>
  <si>
    <t>Wykonanie przepustów z rur betonowych pod zjazdami Ø40cm na podsypce piaskowej gr. 20 cm wraz z wykonaniem wykopu, zasypki i odtworzeniem istnijącej konstrukcji nad przepustem</t>
  </si>
  <si>
    <t>Rozebranie nawierzchni z betonu, grubość nawierzchni 15 cm z wywiezieniem materiału z rozbiórki</t>
  </si>
  <si>
    <t>Rozebranie nawierzchni betonowej gr. 15 cm z wywiezieniem materiału z rozbiórki na koszt wykonawcy na odkład wg uznania wraz z ewentualną utylizacją</t>
  </si>
  <si>
    <t>Wykonanie podbudowy z kruszywa łamanego 0/63 stabilizowanego mechanicznie gr. 40cm - warstwa dolna na poszerzeniach</t>
  </si>
  <si>
    <t>Wykonanie warstwy wyrównawczej z mieszanki mineralno-asfaltowej grysowej AC16w, grubość warstwy po zagęszczeniu 3cm na poszerzeniach</t>
  </si>
  <si>
    <t>odcinek nawierzchniowy V+VI</t>
  </si>
  <si>
    <t>Umocnienie dna rowów i ścieków korytkami żelbetowymi typu skrzynkowego</t>
  </si>
  <si>
    <t>Oznakowanie poziome jezdni materiałami grubowarstwowymi (masy chemoutwardzalne) - linie ciągłe</t>
  </si>
  <si>
    <t>Oznakowanie poziome jezdni materiałami grubowarstwowymi (masy chemoutwardzalne)- linie przerywane</t>
  </si>
  <si>
    <t>Oznakowanie poziome jezdni materiałami grubowarstwowymi (masy chemoutwardzalne)) - linie na skrzyżowaniach i przejściach</t>
  </si>
  <si>
    <t>Umocnienie dna rowów i ścieków korytkami żelbetowymi typu skrzynkowego na podsypce cementowo-piaskowej 1:4 o gr. 5 cm oraz na ławie żwirowej gr. 15cm</t>
  </si>
  <si>
    <t>Pokrywka do korytka skrzynkowego</t>
  </si>
  <si>
    <t>km 17+725,04</t>
  </si>
  <si>
    <t>km 17+750,00</t>
  </si>
  <si>
    <t>km 17+775,00</t>
  </si>
  <si>
    <t>km 17+800,00</t>
  </si>
  <si>
    <t>km 17+825,00</t>
  </si>
  <si>
    <t>km 17+850,00</t>
  </si>
  <si>
    <t>km 17+875,00</t>
  </si>
  <si>
    <t>w-wa wiążąca AC gr. 6cm</t>
  </si>
  <si>
    <t>w-wa wyrównawcza AC gr. 8cm</t>
  </si>
  <si>
    <t>w-wa podbudowy z kruszywa łamanego 0/31,5, gr. 15cm</t>
  </si>
  <si>
    <t>Podbudowy z kruszywa naturalnego stabilizowanego mechanicznie</t>
  </si>
  <si>
    <t>odcinek nawierzchniowy VII</t>
  </si>
  <si>
    <t>04.04.01</t>
  </si>
  <si>
    <t>Wykonanie podbudowy z kruszywa łamanego 0/63 stabilizowanego mechanicznie gr. 30cm z dodatkiem 30% ziaren łamanych</t>
  </si>
  <si>
    <t xml:space="preserve">Wykonanie podbudowy z kruszywa łamanego 0/31,5 stabilizowanego mechanicznie gr. 30cm </t>
  </si>
  <si>
    <t>w-wa ulpszonego podłoża z kruszywa naturalnego 0/63, gr. 30cm</t>
  </si>
  <si>
    <t>w-wa ulepszonego podłoża z kruszywa łamanego 0/63 gr. 40cm</t>
  </si>
  <si>
    <t>w-wa ulepszonego podłoża  z kruszywa łamanego 0/31,5, gr. 30cm</t>
  </si>
  <si>
    <t>Ulepszone podłoże z kruszyw naturalnych 0/63 stabilizowanych mechanicznie, warstwa dolna, po zagęszczeniu 30·cm</t>
  </si>
  <si>
    <t>Wykonanie warstwy wyrównawczej z mieszanki mineralno-asfaltowej grysowej AC16w, grubość warstwy po zagęszczeniu 8 cm</t>
  </si>
  <si>
    <t>17+692 - 17+750</t>
  </si>
  <si>
    <t>STWiORB
CPV</t>
  </si>
  <si>
    <t>ODWODNIENIE KORPUSU DROGOWEGO
Roboty budowlane w zakresie budowy rurociągów, ciągów komunikacyjnych i linii energetycznych</t>
  </si>
  <si>
    <t>03.01.01</t>
  </si>
  <si>
    <t>Przepusty pod koroną drogi</t>
  </si>
  <si>
    <t>przepust do przebudowy</t>
  </si>
  <si>
    <t>Wykonanie ścianek czołowych dla przepustów drogowych o średnicy 80 cm wraz z wykonaniem deskowania, zbrojenia i izolacji ścian lepikiem</t>
  </si>
  <si>
    <t>Wykonanie części przelotowej przepustów drogowych, przepust skrzynkowy 1500mmx750mm wraz z wykonaniem żelbetowej płyty odciążającej gr. 15cm, fundamentem z kruszywa gr. 30cm  i izolacją styków rur papą i lepikiem</t>
  </si>
  <si>
    <t xml:space="preserve">Rozebranie części przelotowej przepustów pod koroną drogi z rur betonowych o średnicy ø40-80 cm z uprzednim odkopaniem przepustów oraz wywiezieniem materiału z rozbiórki </t>
  </si>
  <si>
    <t>Rozbiórka nawierzchni</t>
  </si>
  <si>
    <t>odcinek nawierzchniowy V(poszerzenie)</t>
  </si>
  <si>
    <t>odcinek nawierzchniowy VI(poszerzenie)</t>
  </si>
  <si>
    <t>odcinek nawierzchniowy VII(nawierzchnia)</t>
  </si>
  <si>
    <t>Wykonanie części przelotowej przepustów drogowych - przepust skrzynkowy 1500mmx750mm wraz z wykonaniem żelbetowej płyty odciążającej gr. 15cm, fundamentem z kruszywa gr. 30cm  i izolacją styków rur papą i lepikiem</t>
  </si>
  <si>
    <t>Ulepszone podłoże z kruszywa łamanego 0/31,5, w-wa górna gr. warstwy po zagęszczeniu 30 cm</t>
  </si>
  <si>
    <t>zjazdy bitumiczne</t>
  </si>
  <si>
    <t>Wykonanie podbudowy z betonu asfaltowego AC 16P, gr. warstwy po zagęszczeniu 8cm</t>
  </si>
  <si>
    <t>04.03.01</t>
  </si>
  <si>
    <t>Oczyszczenie i skropienie warstw konstrukcyjnych</t>
  </si>
  <si>
    <t>Oczyszczenie warstw konstrukcyjnych mechanicznie</t>
  </si>
  <si>
    <t>Skropienie warstw konstrukcyjnych bitumicznych emulsją asfaltową</t>
  </si>
  <si>
    <t>04.01.01</t>
  </si>
  <si>
    <t>Profilowanie i zagęszczanie podłoża wykonywane mechanicznie</t>
  </si>
  <si>
    <t xml:space="preserve">Profilowanie i zagęszczanie podłoża pod warstwy konstrukcyjne nawierzchni </t>
  </si>
  <si>
    <t>zjazdy o nawierzchni z kruszywa</t>
  </si>
  <si>
    <t>Koryto wraz z profilowaniem i zagęszczeniem podłoża</t>
  </si>
  <si>
    <t>Usunięcie warstwy ziemi urodzajnej (humusu) grubość warstwy do 10 cm</t>
  </si>
  <si>
    <t xml:space="preserve">Rozebranie podbudowy z kruszywa gr. 50 cm z wywiezieniem materiału z rozbiórki na koszt wykonawcy na odkład wg uznania wraz z ewentualną utylizacją -  rozebranie istniejącej konstrukcji jezdni </t>
  </si>
  <si>
    <t>Ulepszone podłoże z kruszyw łamanego 0/63 stabilizowanych mechanicznie, warstwa dolna, po zagęszczeniu 40·cm</t>
  </si>
  <si>
    <t>Wykonanie warstwy wiążącej z mieszanki mineralno-asfaltowej grysowej AC16W, grubość warstwy po zagęszczeniu 6 cm</t>
  </si>
  <si>
    <t>Wykonanie warstwy ścieralnej z mieszanki mineralno-asfaltowej grysowej AC11S, grubość warstwy po zagęszczeniu 4 cm</t>
  </si>
  <si>
    <t xml:space="preserve">Wykonanie warstwy wyrównawczej z mieszanki mineralno-asfaltowej grysowej AC16W, grubość warstwy po zagęszczeniu 8 cm </t>
  </si>
  <si>
    <t>Wykonanie warstwy wyrównawczej z mieszanki mineralno-asfaltowej grysowej AC16W, grubość warstwy po zagęszczeniu 4 cm</t>
  </si>
  <si>
    <t>Ścinanie drzew o średnicy 56-65 cm wraz z karczowaniem pni oraz wywiezieniem dłużyc, gałęzi i karpiny</t>
  </si>
  <si>
    <t>Ścinanie drzew o średnicy 66-75 cm wraz z karczowaniem pni oraz wywiezieniem dłużyc, gałęzi i karpiny</t>
  </si>
  <si>
    <t>Karczowanie krzaków lub zagajników</t>
  </si>
  <si>
    <t>Karczowanie krzaków i poszycia ilości sztuk 1000/ha</t>
  </si>
  <si>
    <t>ha</t>
  </si>
  <si>
    <t>ulepszone podłoże z kruszywa naturalnego  stabilizowanego cementem o Rm =1,5MPa gr. 10cm</t>
  </si>
  <si>
    <t>kostka betonowa szara gr. 6cm</t>
  </si>
  <si>
    <t>obrzeże betonowe 8x30cm</t>
  </si>
  <si>
    <t>krawężnik betonowy obniżony 15x25cm</t>
  </si>
  <si>
    <t>krawężnik betonowy wysoki 20x30cm</t>
  </si>
  <si>
    <t>Kilometraż chodnika</t>
  </si>
  <si>
    <t>Chodniki - strona lewa</t>
  </si>
  <si>
    <t>08.01.01</t>
  </si>
  <si>
    <t>Ustawienie krawężników betonowych o wymiarach 15x25 cm wraz z wykonaniem ławy betonowej z oporem z betonu</t>
  </si>
  <si>
    <t>Ustawienie krawężników betonowych wibroprasowanych o wymiarach 15x25 cm na podsypce cementowo-piaskowej gr. 5cm i ławie z betonu C12/15</t>
  </si>
  <si>
    <t>Ustawienie krawężników betonowych o wymiarach 20x30 cm wraz z wykonaniem ławy betonowej z oporem z betonu</t>
  </si>
  <si>
    <t>Ustawienie krawężników betonowych wibroprasowanych o wymiarach 20x30 cm na podsypce cementowo-piaskowej gr. 5cm i ławie z betonu C12/15</t>
  </si>
  <si>
    <t>08.02.02</t>
  </si>
  <si>
    <t>Chodniki z brukowej kostki betonowej</t>
  </si>
  <si>
    <t>Wykonanie chodników z kostki brukowej betonowej o grubości 6 cm, szarej na podsypce cementowo-piaskowej, spoiny wypełnione piaskiem</t>
  </si>
  <si>
    <t>Wykonanie nawierzchni chodnika z kostki brukowej betonowej wibroprasowanej 
gr. 6 cm na podsypce cementowo-piaskowej gr. 3cm - kostka szara</t>
  </si>
  <si>
    <t>08.03.01</t>
  </si>
  <si>
    <t>Betowe obrzeża chodnikowe</t>
  </si>
  <si>
    <t>Ustawienie obrzeży betonowych o wymiarach 30x8 cm na podsypce cementowo-piaskowej, spoiny wypełnione zaprawą cementową</t>
  </si>
  <si>
    <t>Ustawienie obrzeży betonowych o wymiarach 8x30 cm na podsypce cementowo-piaskowej gr. 3 cm i ławie z betonu C12/15</t>
  </si>
  <si>
    <t>Podłoże gruntowe ulepszone, podbudowa z kruszywa stabilizowanego spoiwem</t>
  </si>
  <si>
    <t>Wykonanie podbudowy z kruszywa naturalnego stabilizowanego cementem o wytrzymałości Rm=1,5MPa, grubość warstwy po zagęszczeniu 10cm</t>
  </si>
  <si>
    <t>Wykonanie podbudowy z kruszywa naturalnego stabilizowanego cementem o wytrzymałości Rm=1,5MPa, z dowozem materiału, pielęgnacją podbudowy przez posypanie piaskiem i polewanie wodą, grubość warstwy po zagęszczeniu 10cm</t>
  </si>
  <si>
    <t>chodnik</t>
  </si>
  <si>
    <t>Wykonanie podbudowy z kruszywa naturalnego stabilizowanego cementem o wytrzymałości Rm=5MPa, grubość warstwy po zagęszczeniu 15cm</t>
  </si>
  <si>
    <t>Wykonanie podbudowy z kruszywa naturalnego stabilizowanego cementem o wytrzymałości Rm=5MPa, z dowozem materiału, pielęgnacją podbudowy przez posypanie piaskiem i polewanie wodą, grubość warstwy po zagęszczeniu 15cm</t>
  </si>
  <si>
    <t>km 17+865,7</t>
  </si>
  <si>
    <t>km 17+882,9</t>
  </si>
  <si>
    <t>05.03.23</t>
  </si>
  <si>
    <t>Nawierzchnia z kostki brukowej betonowej</t>
  </si>
  <si>
    <t>Wykonanie nawierzchni z kostki brukowej betonowej kolorowej o gr. 8 cm na podsypce cementowo-piaskowej, spoiny wypełnione piaskiem</t>
  </si>
  <si>
    <t>Wykonanie nawierzchni z kostki brukowej betonowej gr. 8 cm, na podsypce cementowo-piaskowej gr. 3cm - kostka czerwona</t>
  </si>
  <si>
    <t>Rozebranie nawierzchni asfaltowej gr. 15 cm z wywiezieniem materiału z rozbiórki na koszt wykonawcy na odkład wg uznania wraz z ewentualną utylizacją :                     
rozebranie istniejącej konstrukcji jezdni</t>
  </si>
  <si>
    <t>Rozebranie nawierzchni asfaltowej, grubość nawierzchni 15 cm z wywiezieniem materiału z rozbiórki</t>
  </si>
  <si>
    <t>Rozebranie podbudowy z kruszywa łamanego lub naturalnego, grubość warstwy 15 cm z wywiezieniem materiału z rozbiórki</t>
  </si>
  <si>
    <t>Wykonanie warstwy wyrównawczej z mieszanki mineralno-asfaltowej grysowej  AC16W, grubość warstwy po zagęszczeniu 3 cm</t>
  </si>
  <si>
    <t>Wyrównanie istniejącej podbudowy betonem asfaltowym grysowo-żwirowym dla KR3, mechanicznie</t>
  </si>
  <si>
    <t>Wykonanie warstwy wiążącej z mieszanki mineralno-asfaltowej grysowej AC16W, grubość warstwy po zagęszczeniu 7 cm</t>
  </si>
  <si>
    <t>Ścinanie drzew o średnicy 16-35 cm wraz z karczowaniem pni oraz wywiezieniem dłużyc, gałęzi i karpiny</t>
  </si>
  <si>
    <r>
      <t xml:space="preserve">01.00.00
</t>
    </r>
    <r>
      <rPr>
        <sz val="10"/>
        <rFont val="Cambria"/>
        <family val="1"/>
      </rPr>
      <t>45100000-8</t>
    </r>
  </si>
  <si>
    <r>
      <t xml:space="preserve">ROBOTY PRZYGOTOWAWCZE
</t>
    </r>
    <r>
      <rPr>
        <sz val="10"/>
        <rFont val="Cambria"/>
        <family val="1"/>
      </rPr>
      <t>Roboty w zakresie burzenia, roboty ziemne</t>
    </r>
  </si>
  <si>
    <r>
      <t>m</t>
    </r>
    <r>
      <rPr>
        <b/>
        <vertAlign val="superscript"/>
        <sz val="10"/>
        <rFont val="Cambria"/>
        <family val="1"/>
      </rPr>
      <t>2</t>
    </r>
  </si>
  <si>
    <r>
      <t>m</t>
    </r>
    <r>
      <rPr>
        <vertAlign val="superscript"/>
        <sz val="10"/>
        <rFont val="Cambria"/>
        <family val="1"/>
      </rPr>
      <t>2</t>
    </r>
  </si>
  <si>
    <r>
      <t xml:space="preserve">Rozebranie podbudowy z kruszywa łamanego lub naturalnego, grubość warstwy </t>
    </r>
    <r>
      <rPr>
        <b/>
        <sz val="10"/>
        <color indexed="10"/>
        <rFont val="Cambria"/>
        <family val="1"/>
      </rPr>
      <t xml:space="preserve"> </t>
    </r>
    <r>
      <rPr>
        <b/>
        <sz val="10"/>
        <rFont val="Cambria"/>
        <family val="1"/>
      </rPr>
      <t>50</t>
    </r>
    <r>
      <rPr>
        <b/>
        <sz val="10"/>
        <color indexed="10"/>
        <rFont val="Cambria"/>
        <family val="1"/>
      </rPr>
      <t xml:space="preserve"> </t>
    </r>
    <r>
      <rPr>
        <b/>
        <sz val="10"/>
        <rFont val="Cambria"/>
        <family val="1"/>
      </rPr>
      <t xml:space="preserve"> cm z wywiezieniem materiału z rozbiórki</t>
    </r>
  </si>
  <si>
    <r>
      <t xml:space="preserve">02.00.00
</t>
    </r>
    <r>
      <rPr>
        <sz val="10"/>
        <rFont val="Cambria"/>
        <family val="1"/>
      </rPr>
      <t>45100000-8</t>
    </r>
  </si>
  <si>
    <r>
      <t xml:space="preserve">ROBOTY ZIEMNE
</t>
    </r>
    <r>
      <rPr>
        <sz val="10"/>
        <rFont val="Cambria"/>
        <family val="1"/>
      </rPr>
      <t>Roboty w zakresie usuwania gleby</t>
    </r>
  </si>
  <si>
    <r>
      <t>m</t>
    </r>
    <r>
      <rPr>
        <b/>
        <vertAlign val="superscript"/>
        <sz val="10"/>
        <rFont val="Cambria"/>
        <family val="1"/>
      </rPr>
      <t>3</t>
    </r>
  </si>
  <si>
    <r>
      <t>m</t>
    </r>
    <r>
      <rPr>
        <vertAlign val="superscript"/>
        <sz val="10"/>
        <rFont val="Cambria"/>
        <family val="1"/>
      </rPr>
      <t>3</t>
    </r>
  </si>
  <si>
    <r>
      <t xml:space="preserve">04.00.00
</t>
    </r>
    <r>
      <rPr>
        <sz val="10"/>
        <rFont val="Cambria"/>
        <family val="1"/>
      </rPr>
      <t>45233000-9</t>
    </r>
  </si>
  <si>
    <r>
      <t xml:space="preserve">PODBUDOWY
</t>
    </r>
    <r>
      <rPr>
        <sz val="10"/>
        <rFont val="Cambria"/>
        <family val="1"/>
      </rPr>
      <t>Roboty w zakresie konstruowania, fundamentowania oraz wykonywania nawierzchni autostrad, dróg</t>
    </r>
  </si>
  <si>
    <r>
      <t xml:space="preserve">05.00.00
</t>
    </r>
    <r>
      <rPr>
        <sz val="10"/>
        <rFont val="Cambria"/>
        <family val="1"/>
      </rPr>
      <t>45233000-9</t>
    </r>
  </si>
  <si>
    <r>
      <t xml:space="preserve">NAWIERZCHNIE
</t>
    </r>
    <r>
      <rPr>
        <sz val="10"/>
        <rFont val="Cambria"/>
        <family val="1"/>
      </rPr>
      <t>Roboty w zakresie konstruowania, fundamentowania oraz wykonywania nawierzchni autostrad, dróg</t>
    </r>
  </si>
  <si>
    <r>
      <t xml:space="preserve">06.00.00
</t>
    </r>
    <r>
      <rPr>
        <sz val="10"/>
        <rFont val="Cambria"/>
        <family val="1"/>
      </rPr>
      <t>45233000-9</t>
    </r>
  </si>
  <si>
    <r>
      <t xml:space="preserve">ROBOTY WYKOŃCZENIOWE
</t>
    </r>
    <r>
      <rPr>
        <sz val="10"/>
        <rFont val="Cambria"/>
        <family val="1"/>
      </rPr>
      <t>Roboty w zakresie konstruowania, fundamentowania oraz wykonywania nawierzchni autostrad, dróg</t>
    </r>
  </si>
  <si>
    <r>
      <t xml:space="preserve">STWiORB
</t>
    </r>
    <r>
      <rPr>
        <sz val="10"/>
        <rFont val="Cambria"/>
        <family val="1"/>
      </rPr>
      <t>CPV</t>
    </r>
  </si>
  <si>
    <r>
      <t xml:space="preserve">07.00.00
</t>
    </r>
    <r>
      <rPr>
        <sz val="10"/>
        <rFont val="Cambria"/>
        <family val="1"/>
      </rPr>
      <t>45233000-9</t>
    </r>
  </si>
  <si>
    <r>
      <t xml:space="preserve">OZNAKOWANIE DRÓG I URZĄDZENIA BEZPIECZEŃSTWA RUCHU
</t>
    </r>
    <r>
      <rPr>
        <sz val="10"/>
        <rFont val="Cambria"/>
        <family val="1"/>
      </rPr>
      <t>Roboty w zakresie konstruowania, fundamentowania oraz wykonywania nawierzchni autostrad, dróg</t>
    </r>
  </si>
  <si>
    <r>
      <t xml:space="preserve">08.00.00
</t>
    </r>
    <r>
      <rPr>
        <sz val="10"/>
        <rFont val="Cambria"/>
        <family val="1"/>
      </rPr>
      <t>45233000-0</t>
    </r>
  </si>
  <si>
    <r>
      <t xml:space="preserve">ELEMENTY ULIC
</t>
    </r>
    <r>
      <rPr>
        <sz val="10"/>
        <rFont val="Cambria"/>
        <family val="1"/>
      </rPr>
      <t>Roboty w zakresie konstruowania, fundamentowania oraz wykonywania nawierzchni autostrad, dróg</t>
    </r>
  </si>
  <si>
    <r>
      <t xml:space="preserve">03.00.00
</t>
    </r>
    <r>
      <rPr>
        <sz val="10"/>
        <rFont val="Cambria"/>
        <family val="1"/>
      </rPr>
      <t>45230000-8</t>
    </r>
  </si>
  <si>
    <t>od km 17+867.8 do km 17+941.3</t>
  </si>
  <si>
    <r>
      <t xml:space="preserve">ODCINEK NAWIERZCHNIOWY VI
</t>
    </r>
    <r>
      <rPr>
        <sz val="10"/>
        <rFont val="Cambria"/>
        <family val="1"/>
      </rPr>
      <t>od km 17+700.00 do km 17+918(korytowanie)</t>
    </r>
  </si>
  <si>
    <t>km 17+889,2</t>
  </si>
  <si>
    <t>km 17+909,8</t>
  </si>
  <si>
    <t>PROJ ZI</t>
  </si>
  <si>
    <t>km 17+900,00</t>
  </si>
  <si>
    <t>km 17+925,00</t>
  </si>
  <si>
    <t>km 17+950,00</t>
  </si>
  <si>
    <t>&lt;P-1b&gt;</t>
  </si>
  <si>
    <t>B-33</t>
  </si>
  <si>
    <t>B-34</t>
  </si>
  <si>
    <r>
      <t xml:space="preserve">Przebudowa drogi powiatowej nr 1715W  Bróza - Radom w 
</t>
    </r>
    <r>
      <rPr>
        <sz val="10"/>
        <rFont val="Cambria"/>
        <family val="1"/>
      </rPr>
      <t>km od ok. 17+063,93 do ok. 17+918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</si>
</sst>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\.##\.##\.##\."/>
    <numFmt numFmtId="165" formatCode="##\.##\.##\.00\."/>
    <numFmt numFmtId="166" formatCode="0.0"/>
    <numFmt numFmtId="167" formatCode="#,##0.00\ _z_ł"/>
    <numFmt numFmtId="168" formatCode="[$-415]d\ mmmm\ yyyy"/>
    <numFmt numFmtId="169" formatCode="00"/>
    <numFmt numFmtId="170" formatCode="0.00000"/>
    <numFmt numFmtId="171" formatCode="0.000000"/>
    <numFmt numFmtId="172" formatCode="0.0000"/>
    <numFmt numFmtId="173" formatCode="0.000"/>
    <numFmt numFmtId="174" formatCode="dd\.mm\.yyyy"/>
    <numFmt numFmtId="175" formatCode="#,##0.00\ &quot;zł&quot;"/>
  </numFmts>
  <fonts count="57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Cambria"/>
      <family val="1"/>
    </font>
    <font>
      <b/>
      <vertAlign val="superscript"/>
      <sz val="10"/>
      <name val="Cambria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Cambria"/>
      <family val="1"/>
    </font>
    <font>
      <vertAlign val="superscript"/>
      <sz val="10"/>
      <name val="Cambria"/>
      <family val="1"/>
    </font>
    <font>
      <b/>
      <sz val="10"/>
      <color indexed="10"/>
      <name val="Cambria"/>
      <family val="1"/>
    </font>
    <font>
      <sz val="10"/>
      <color indexed="10"/>
      <name val="Cambria"/>
      <family val="1"/>
    </font>
    <font>
      <b/>
      <sz val="12"/>
      <name val="Cambria"/>
      <family val="1"/>
    </font>
    <font>
      <sz val="10"/>
      <color indexed="55"/>
      <name val="Cambria"/>
      <family val="1"/>
    </font>
    <font>
      <sz val="10"/>
      <color indexed="22"/>
      <name val="Cambria"/>
      <family val="1"/>
    </font>
    <font>
      <sz val="9"/>
      <name val="Cambria"/>
      <family val="1"/>
    </font>
    <font>
      <i/>
      <sz val="10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sz val="11"/>
      <color indexed="10"/>
      <name val="Cambria"/>
      <family val="1"/>
    </font>
    <font>
      <b/>
      <sz val="14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sz val="10"/>
      <color theme="0" tint="-0.24997000396251678"/>
      <name val="Cambria"/>
      <family val="1"/>
    </font>
    <font>
      <sz val="10"/>
      <color theme="0" tint="-0.1499900072813034"/>
      <name val="Cambria"/>
      <family val="1"/>
    </font>
    <font>
      <b/>
      <sz val="11"/>
      <color rgb="FFFF0000"/>
      <name val="Cambria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17" fillId="5" borderId="0" applyNumberFormat="0" applyBorder="0" applyAlignment="0" applyProtection="0"/>
    <xf numFmtId="0" fontId="35" fillId="6" borderId="0" applyNumberFormat="0" applyBorder="0" applyAlignment="0" applyProtection="0"/>
    <xf numFmtId="0" fontId="17" fillId="7" borderId="0" applyNumberFormat="0" applyBorder="0" applyAlignment="0" applyProtection="0"/>
    <xf numFmtId="0" fontId="35" fillId="8" borderId="0" applyNumberFormat="0" applyBorder="0" applyAlignment="0" applyProtection="0"/>
    <xf numFmtId="0" fontId="17" fillId="9" borderId="0" applyNumberFormat="0" applyBorder="0" applyAlignment="0" applyProtection="0"/>
    <xf numFmtId="0" fontId="35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5" borderId="0" applyNumberFormat="0" applyBorder="0" applyAlignment="0" applyProtection="0"/>
    <xf numFmtId="0" fontId="35" fillId="16" borderId="0" applyNumberFormat="0" applyBorder="0" applyAlignment="0" applyProtection="0"/>
    <xf numFmtId="0" fontId="17" fillId="17" borderId="0" applyNumberFormat="0" applyBorder="0" applyAlignment="0" applyProtection="0"/>
    <xf numFmtId="0" fontId="35" fillId="18" borderId="0" applyNumberFormat="0" applyBorder="0" applyAlignment="0" applyProtection="0"/>
    <xf numFmtId="0" fontId="17" fillId="19" borderId="0" applyNumberFormat="0" applyBorder="0" applyAlignment="0" applyProtection="0"/>
    <xf numFmtId="0" fontId="35" fillId="20" borderId="0" applyNumberFormat="0" applyBorder="0" applyAlignment="0" applyProtection="0"/>
    <xf numFmtId="0" fontId="17" fillId="9" borderId="0" applyNumberFormat="0" applyBorder="0" applyAlignment="0" applyProtection="0"/>
    <xf numFmtId="0" fontId="35" fillId="21" borderId="0" applyNumberFormat="0" applyBorder="0" applyAlignment="0" applyProtection="0"/>
    <xf numFmtId="0" fontId="17" fillId="15" borderId="0" applyNumberFormat="0" applyBorder="0" applyAlignment="0" applyProtection="0"/>
    <xf numFmtId="0" fontId="35" fillId="22" borderId="0" applyNumberFormat="0" applyBorder="0" applyAlignment="0" applyProtection="0"/>
    <xf numFmtId="0" fontId="17" fillId="23" borderId="0" applyNumberFormat="0" applyBorder="0" applyAlignment="0" applyProtection="0"/>
    <xf numFmtId="0" fontId="36" fillId="24" borderId="0" applyNumberFormat="0" applyBorder="0" applyAlignment="0" applyProtection="0"/>
    <xf numFmtId="0" fontId="16" fillId="25" borderId="0" applyNumberFormat="0" applyBorder="0" applyAlignment="0" applyProtection="0"/>
    <xf numFmtId="0" fontId="36" fillId="26" borderId="0" applyNumberFormat="0" applyBorder="0" applyAlignment="0" applyProtection="0"/>
    <xf numFmtId="0" fontId="16" fillId="17" borderId="0" applyNumberFormat="0" applyBorder="0" applyAlignment="0" applyProtection="0"/>
    <xf numFmtId="0" fontId="36" fillId="27" borderId="0" applyNumberFormat="0" applyBorder="0" applyAlignment="0" applyProtection="0"/>
    <xf numFmtId="0" fontId="16" fillId="19" borderId="0" applyNumberFormat="0" applyBorder="0" applyAlignment="0" applyProtection="0"/>
    <xf numFmtId="0" fontId="36" fillId="28" borderId="0" applyNumberFormat="0" applyBorder="0" applyAlignment="0" applyProtection="0"/>
    <xf numFmtId="0" fontId="16" fillId="29" borderId="0" applyNumberFormat="0" applyBorder="0" applyAlignment="0" applyProtection="0"/>
    <xf numFmtId="0" fontId="36" fillId="30" borderId="0" applyNumberFormat="0" applyBorder="0" applyAlignment="0" applyProtection="0"/>
    <xf numFmtId="0" fontId="16" fillId="31" borderId="0" applyNumberFormat="0" applyBorder="0" applyAlignment="0" applyProtection="0"/>
    <xf numFmtId="0" fontId="36" fillId="32" borderId="0" applyNumberFormat="0" applyBorder="0" applyAlignment="0" applyProtection="0"/>
    <xf numFmtId="0" fontId="16" fillId="33" borderId="0" applyNumberFormat="0" applyBorder="0" applyAlignment="0" applyProtection="0"/>
    <xf numFmtId="0" fontId="36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6" fillId="37" borderId="0" applyNumberFormat="0" applyBorder="0" applyAlignment="0" applyProtection="0"/>
    <xf numFmtId="0" fontId="36" fillId="38" borderId="0" applyNumberFormat="0" applyBorder="0" applyAlignment="0" applyProtection="0"/>
    <xf numFmtId="0" fontId="16" fillId="39" borderId="0" applyNumberFormat="0" applyBorder="0" applyAlignment="0" applyProtection="0"/>
    <xf numFmtId="0" fontId="36" fillId="40" borderId="0" applyNumberFormat="0" applyBorder="0" applyAlignment="0" applyProtection="0"/>
    <xf numFmtId="0" fontId="16" fillId="29" borderId="0" applyNumberFormat="0" applyBorder="0" applyAlignment="0" applyProtection="0"/>
    <xf numFmtId="0" fontId="36" fillId="41" borderId="0" applyNumberFormat="0" applyBorder="0" applyAlignment="0" applyProtection="0"/>
    <xf numFmtId="0" fontId="16" fillId="31" borderId="0" applyNumberFormat="0" applyBorder="0" applyAlignment="0" applyProtection="0"/>
    <xf numFmtId="0" fontId="36" fillId="42" borderId="0" applyNumberFormat="0" applyBorder="0" applyAlignment="0" applyProtection="0"/>
    <xf numFmtId="0" fontId="16" fillId="43" borderId="0" applyNumberFormat="0" applyBorder="0" applyAlignment="0" applyProtection="0"/>
    <xf numFmtId="0" fontId="37" fillId="44" borderId="1" applyNumberFormat="0" applyAlignment="0" applyProtection="0"/>
    <xf numFmtId="0" fontId="8" fillId="13" borderId="2" applyNumberFormat="0" applyAlignment="0" applyProtection="0"/>
    <xf numFmtId="0" fontId="38" fillId="45" borderId="3" applyNumberFormat="0" applyAlignment="0" applyProtection="0"/>
    <xf numFmtId="0" fontId="9" fillId="46" borderId="4" applyNumberFormat="0" applyAlignment="0" applyProtection="0"/>
    <xf numFmtId="0" fontId="39" fillId="47" borderId="0" applyNumberFormat="0" applyBorder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5" applyNumberFormat="0" applyFill="0" applyAlignment="0" applyProtection="0"/>
    <xf numFmtId="0" fontId="11" fillId="0" borderId="6" applyNumberFormat="0" applyFill="0" applyAlignment="0" applyProtection="0"/>
    <xf numFmtId="0" fontId="41" fillId="48" borderId="7" applyNumberFormat="0" applyAlignment="0" applyProtection="0"/>
    <xf numFmtId="0" fontId="12" fillId="49" borderId="8" applyNumberFormat="0" applyAlignment="0" applyProtection="0"/>
    <xf numFmtId="0" fontId="42" fillId="0" borderId="9" applyNumberFormat="0" applyFill="0" applyAlignment="0" applyProtection="0"/>
    <xf numFmtId="0" fontId="2" fillId="0" borderId="10" applyNumberFormat="0" applyFill="0" applyAlignment="0" applyProtection="0"/>
    <xf numFmtId="0" fontId="43" fillId="0" borderId="11" applyNumberFormat="0" applyFill="0" applyAlignment="0" applyProtection="0"/>
    <xf numFmtId="0" fontId="3" fillId="0" borderId="12" applyNumberFormat="0" applyFill="0" applyAlignment="0" applyProtection="0"/>
    <xf numFmtId="0" fontId="44" fillId="0" borderId="13" applyNumberFormat="0" applyFill="0" applyAlignment="0" applyProtection="0"/>
    <xf numFmtId="0" fontId="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50" borderId="0" applyNumberFormat="0" applyBorder="0" applyAlignment="0" applyProtection="0"/>
    <xf numFmtId="0" fontId="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45" borderId="1" applyNumberFormat="0" applyAlignment="0" applyProtection="0"/>
    <xf numFmtId="0" fontId="10" fillId="46" borderId="2" applyNumberFormat="0" applyAlignment="0" applyProtection="0"/>
    <xf numFmtId="9" fontId="0" fillId="0" borderId="0" applyFill="0" applyBorder="0" applyAlignment="0" applyProtection="0"/>
    <xf numFmtId="0" fontId="47" fillId="0" borderId="15" applyNumberFormat="0" applyFill="0" applyAlignment="0" applyProtection="0"/>
    <xf numFmtId="0" fontId="15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54" borderId="0" applyNumberFormat="0" applyBorder="0" applyAlignment="0" applyProtection="0"/>
    <xf numFmtId="0" fontId="6" fillId="5" borderId="0" applyNumberFormat="0" applyBorder="0" applyAlignment="0" applyProtection="0"/>
  </cellStyleXfs>
  <cellXfs count="539">
    <xf numFmtId="0" fontId="0" fillId="0" borderId="0" xfId="0" applyAlignment="1">
      <alignment/>
    </xf>
    <xf numFmtId="164" fontId="22" fillId="0" borderId="19" xfId="88" applyNumberFormat="1" applyFont="1" applyFill="1" applyBorder="1" applyAlignment="1">
      <alignment horizontal="center" vertical="center" wrapText="1"/>
      <protection/>
    </xf>
    <xf numFmtId="0" fontId="22" fillId="0" borderId="20" xfId="88" applyFont="1" applyFill="1" applyBorder="1" applyAlignment="1">
      <alignment horizontal="center" vertical="center" wrapText="1"/>
      <protection/>
    </xf>
    <xf numFmtId="164" fontId="22" fillId="0" borderId="20" xfId="88" applyNumberFormat="1" applyFont="1" applyFill="1" applyBorder="1" applyAlignment="1">
      <alignment horizontal="center" vertical="center" wrapText="1"/>
      <protection/>
    </xf>
    <xf numFmtId="0" fontId="22" fillId="0" borderId="20" xfId="88" applyFont="1" applyFill="1" applyBorder="1" applyAlignment="1">
      <alignment vertical="center" wrapText="1"/>
      <protection/>
    </xf>
    <xf numFmtId="0" fontId="18" fillId="0" borderId="21" xfId="88" applyFont="1" applyFill="1" applyBorder="1" applyAlignment="1">
      <alignment horizontal="center" vertical="center" wrapText="1"/>
      <protection/>
    </xf>
    <xf numFmtId="164" fontId="18" fillId="0" borderId="21" xfId="88" applyNumberFormat="1" applyFont="1" applyFill="1" applyBorder="1" applyAlignment="1">
      <alignment horizontal="center" vertical="center" wrapText="1"/>
      <protection/>
    </xf>
    <xf numFmtId="0" fontId="18" fillId="0" borderId="21" xfId="88" applyFont="1" applyFill="1" applyBorder="1" applyAlignment="1">
      <alignment vertical="center" wrapText="1"/>
      <protection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0" xfId="88" applyFont="1" applyFill="1" applyBorder="1" applyAlignment="1">
      <alignment vertical="center"/>
      <protection/>
    </xf>
    <xf numFmtId="0" fontId="52" fillId="0" borderId="0" xfId="89" applyFont="1" applyFill="1" applyBorder="1" applyAlignment="1">
      <alignment horizontal="left" vertical="center"/>
      <protection/>
    </xf>
    <xf numFmtId="0" fontId="52" fillId="0" borderId="0" xfId="89" applyFont="1" applyFill="1" applyBorder="1" applyAlignment="1" applyProtection="1">
      <alignment horizontal="left" vertical="center"/>
      <protection locked="0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0" fontId="52" fillId="0" borderId="0" xfId="0" applyNumberFormat="1" applyFont="1" applyFill="1" applyBorder="1" applyAlignment="1">
      <alignment horizontal="center" vertical="center" wrapText="1"/>
    </xf>
    <xf numFmtId="0" fontId="22" fillId="0" borderId="22" xfId="88" applyNumberFormat="1" applyFont="1" applyFill="1" applyBorder="1" applyAlignment="1">
      <alignment horizontal="center" vertical="center"/>
      <protection/>
    </xf>
    <xf numFmtId="0" fontId="18" fillId="0" borderId="23" xfId="88" applyNumberFormat="1" applyFont="1" applyFill="1" applyBorder="1" applyAlignment="1">
      <alignment horizontal="center" vertical="center"/>
      <protection/>
    </xf>
    <xf numFmtId="0" fontId="22" fillId="0" borderId="22" xfId="88" applyFont="1" applyFill="1" applyBorder="1" applyAlignment="1">
      <alignment vertical="top" wrapText="1"/>
      <protection/>
    </xf>
    <xf numFmtId="0" fontId="22" fillId="0" borderId="22" xfId="88" applyFont="1" applyFill="1" applyBorder="1" applyAlignment="1">
      <alignment horizontal="center" vertical="center" wrapText="1"/>
      <protection/>
    </xf>
    <xf numFmtId="0" fontId="18" fillId="0" borderId="23" xfId="88" applyFont="1" applyFill="1" applyBorder="1" applyAlignment="1">
      <alignment horizontal="center" vertical="center" wrapText="1"/>
      <protection/>
    </xf>
    <xf numFmtId="0" fontId="52" fillId="0" borderId="0" xfId="0" applyNumberFormat="1" applyFont="1" applyAlignment="1">
      <alignment horizontal="center" vertical="center"/>
    </xf>
    <xf numFmtId="0" fontId="18" fillId="0" borderId="23" xfId="88" applyFont="1" applyFill="1" applyBorder="1" applyAlignment="1">
      <alignment vertical="top" wrapText="1"/>
      <protection/>
    </xf>
    <xf numFmtId="2" fontId="18" fillId="0" borderId="21" xfId="88" applyNumberFormat="1" applyFont="1" applyFill="1" applyBorder="1" applyAlignment="1">
      <alignment horizontal="center" vertical="center"/>
      <protection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0" fontId="26" fillId="0" borderId="0" xfId="0" applyFont="1" applyAlignment="1">
      <alignment horizontal="center"/>
    </xf>
    <xf numFmtId="2" fontId="18" fillId="0" borderId="0" xfId="0" applyNumberFormat="1" applyFont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2" fontId="18" fillId="0" borderId="0" xfId="0" applyNumberFormat="1" applyFont="1" applyBorder="1" applyAlignment="1">
      <alignment horizontal="center" vertical="center"/>
    </xf>
    <xf numFmtId="0" fontId="18" fillId="0" borderId="24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26" fillId="0" borderId="21" xfId="0" applyFont="1" applyBorder="1" applyAlignment="1">
      <alignment/>
    </xf>
    <xf numFmtId="166" fontId="26" fillId="0" borderId="21" xfId="0" applyNumberFormat="1" applyFont="1" applyBorder="1" applyAlignment="1">
      <alignment horizontal="center"/>
    </xf>
    <xf numFmtId="2" fontId="18" fillId="0" borderId="25" xfId="0" applyNumberFormat="1" applyFont="1" applyBorder="1" applyAlignment="1">
      <alignment horizontal="center" vertical="center"/>
    </xf>
    <xf numFmtId="4" fontId="18" fillId="0" borderId="26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166" fontId="26" fillId="0" borderId="21" xfId="0" applyNumberFormat="1" applyFont="1" applyFill="1" applyBorder="1" applyAlignment="1">
      <alignment horizontal="center"/>
    </xf>
    <xf numFmtId="0" fontId="18" fillId="0" borderId="29" xfId="0" applyFont="1" applyBorder="1" applyAlignment="1">
      <alignment horizontal="center" vertical="center"/>
    </xf>
    <xf numFmtId="166" fontId="18" fillId="0" borderId="21" xfId="0" applyNumberFormat="1" applyFont="1" applyBorder="1" applyAlignment="1">
      <alignment horizontal="center" vertical="center" wrapText="1"/>
    </xf>
    <xf numFmtId="166" fontId="18" fillId="0" borderId="19" xfId="0" applyNumberFormat="1" applyFont="1" applyBorder="1" applyAlignment="1">
      <alignment horizontal="center" vertical="center"/>
    </xf>
    <xf numFmtId="0" fontId="18" fillId="0" borderId="19" xfId="0" applyNumberFormat="1" applyFont="1" applyBorder="1" applyAlignment="1">
      <alignment horizontal="center" vertical="center"/>
    </xf>
    <xf numFmtId="166" fontId="18" fillId="0" borderId="30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166" fontId="54" fillId="0" borderId="21" xfId="0" applyNumberFormat="1" applyFont="1" applyBorder="1" applyAlignment="1">
      <alignment horizontal="center" vertical="center" wrapText="1"/>
    </xf>
    <xf numFmtId="166" fontId="54" fillId="0" borderId="19" xfId="0" applyNumberFormat="1" applyFont="1" applyBorder="1" applyAlignment="1">
      <alignment horizontal="center" vertical="center"/>
    </xf>
    <xf numFmtId="0" fontId="54" fillId="0" borderId="19" xfId="0" applyNumberFormat="1" applyFont="1" applyBorder="1" applyAlignment="1">
      <alignment horizontal="center" vertical="center"/>
    </xf>
    <xf numFmtId="166" fontId="18" fillId="0" borderId="0" xfId="0" applyNumberFormat="1" applyFont="1" applyAlignment="1">
      <alignment horizontal="center" vertical="center"/>
    </xf>
    <xf numFmtId="166" fontId="22" fillId="0" borderId="21" xfId="0" applyNumberFormat="1" applyFont="1" applyFill="1" applyBorder="1" applyAlignment="1">
      <alignment horizontal="center"/>
    </xf>
    <xf numFmtId="0" fontId="18" fillId="0" borderId="31" xfId="0" applyFont="1" applyBorder="1" applyAlignment="1">
      <alignment horizontal="center" vertical="center"/>
    </xf>
    <xf numFmtId="4" fontId="18" fillId="0" borderId="32" xfId="0" applyNumberFormat="1" applyFont="1" applyBorder="1" applyAlignment="1">
      <alignment horizontal="center" vertical="center"/>
    </xf>
    <xf numFmtId="2" fontId="18" fillId="0" borderId="3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6" fontId="18" fillId="0" borderId="30" xfId="0" applyNumberFormat="1" applyFont="1" applyBorder="1" applyAlignment="1">
      <alignment horizontal="center" vertical="center" wrapText="1"/>
    </xf>
    <xf numFmtId="166" fontId="18" fillId="0" borderId="33" xfId="0" applyNumberFormat="1" applyFont="1" applyBorder="1" applyAlignment="1">
      <alignment horizontal="center" vertical="center" wrapText="1"/>
    </xf>
    <xf numFmtId="166" fontId="22" fillId="0" borderId="30" xfId="0" applyNumberFormat="1" applyFont="1" applyBorder="1" applyAlignment="1">
      <alignment horizontal="center" vertical="center" wrapText="1"/>
    </xf>
    <xf numFmtId="166" fontId="22" fillId="0" borderId="33" xfId="0" applyNumberFormat="1" applyFont="1" applyBorder="1" applyAlignment="1">
      <alignment horizontal="center" vertical="center" wrapText="1"/>
    </xf>
    <xf numFmtId="166" fontId="18" fillId="0" borderId="20" xfId="0" applyNumberFormat="1" applyFont="1" applyBorder="1" applyAlignment="1">
      <alignment horizontal="center" vertical="center" wrapText="1"/>
    </xf>
    <xf numFmtId="166" fontId="22" fillId="0" borderId="2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6" fontId="18" fillId="0" borderId="31" xfId="0" applyNumberFormat="1" applyFont="1" applyBorder="1" applyAlignment="1">
      <alignment horizontal="center" vertical="center"/>
    </xf>
    <xf numFmtId="166" fontId="18" fillId="0" borderId="21" xfId="0" applyNumberFormat="1" applyFont="1" applyBorder="1" applyAlignment="1">
      <alignment horizontal="center" vertical="center"/>
    </xf>
    <xf numFmtId="0" fontId="18" fillId="0" borderId="29" xfId="0" applyNumberFormat="1" applyFont="1" applyBorder="1" applyAlignment="1">
      <alignment horizontal="center" vertical="center"/>
    </xf>
    <xf numFmtId="166" fontId="22" fillId="0" borderId="29" xfId="0" applyNumberFormat="1" applyFont="1" applyBorder="1" applyAlignment="1">
      <alignment horizontal="center" vertical="center"/>
    </xf>
    <xf numFmtId="0" fontId="22" fillId="0" borderId="29" xfId="0" applyNumberFormat="1" applyFont="1" applyBorder="1" applyAlignment="1">
      <alignment horizontal="center" vertical="center"/>
    </xf>
    <xf numFmtId="0" fontId="18" fillId="0" borderId="26" xfId="0" applyNumberFormat="1" applyFont="1" applyBorder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0" fontId="22" fillId="0" borderId="26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1" xfId="0" applyNumberFormat="1" applyFont="1" applyBorder="1" applyAlignment="1">
      <alignment horizontal="center" vertical="center"/>
    </xf>
    <xf numFmtId="166" fontId="22" fillId="0" borderId="21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2" fillId="0" borderId="19" xfId="0" applyFont="1" applyFill="1" applyBorder="1" applyAlignment="1">
      <alignment horizontal="center" vertical="center" wrapText="1"/>
    </xf>
    <xf numFmtId="166" fontId="22" fillId="0" borderId="29" xfId="0" applyNumberFormat="1" applyFont="1" applyBorder="1" applyAlignment="1">
      <alignment horizontal="center" vertical="center"/>
    </xf>
    <xf numFmtId="0" fontId="22" fillId="0" borderId="29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 wrapText="1"/>
    </xf>
    <xf numFmtId="166" fontId="18" fillId="0" borderId="34" xfId="0" applyNumberFormat="1" applyFont="1" applyBorder="1" applyAlignment="1">
      <alignment horizontal="center" vertical="center" wrapText="1"/>
    </xf>
    <xf numFmtId="166" fontId="18" fillId="0" borderId="22" xfId="0" applyNumberFormat="1" applyFont="1" applyBorder="1" applyAlignment="1">
      <alignment horizontal="center" vertical="center"/>
    </xf>
    <xf numFmtId="0" fontId="18" fillId="0" borderId="35" xfId="0" applyNumberFormat="1" applyFont="1" applyBorder="1" applyAlignment="1">
      <alignment horizontal="center" vertical="center"/>
    </xf>
    <xf numFmtId="0" fontId="18" fillId="0" borderId="36" xfId="0" applyNumberFormat="1" applyFont="1" applyBorder="1" applyAlignment="1">
      <alignment horizontal="center" vertical="center"/>
    </xf>
    <xf numFmtId="166" fontId="22" fillId="0" borderId="34" xfId="0" applyNumberFormat="1" applyFont="1" applyBorder="1" applyAlignment="1">
      <alignment horizontal="center" vertical="center"/>
    </xf>
    <xf numFmtId="0" fontId="22" fillId="0" borderId="34" xfId="0" applyNumberFormat="1" applyFont="1" applyBorder="1" applyAlignment="1">
      <alignment horizontal="center" vertical="center"/>
    </xf>
    <xf numFmtId="166" fontId="18" fillId="0" borderId="0" xfId="0" applyNumberFormat="1" applyFont="1" applyFill="1" applyBorder="1" applyAlignment="1">
      <alignment vertical="center" wrapText="1"/>
    </xf>
    <xf numFmtId="166" fontId="26" fillId="0" borderId="0" xfId="0" applyNumberFormat="1" applyFont="1" applyFill="1" applyBorder="1" applyAlignment="1">
      <alignment wrapText="1"/>
    </xf>
    <xf numFmtId="166" fontId="22" fillId="0" borderId="0" xfId="0" applyNumberFormat="1" applyFont="1" applyBorder="1" applyAlignment="1">
      <alignment horizontal="center" vertical="center" wrapText="1"/>
    </xf>
    <xf numFmtId="166" fontId="18" fillId="0" borderId="22" xfId="0" applyNumberFormat="1" applyFont="1" applyBorder="1" applyAlignment="1">
      <alignment horizontal="center" vertical="center" wrapText="1"/>
    </xf>
    <xf numFmtId="166" fontId="18" fillId="0" borderId="37" xfId="0" applyNumberFormat="1" applyFont="1" applyBorder="1" applyAlignment="1">
      <alignment horizontal="center" vertical="center" wrapText="1"/>
    </xf>
    <xf numFmtId="166" fontId="18" fillId="0" borderId="23" xfId="0" applyNumberFormat="1" applyFont="1" applyBorder="1" applyAlignment="1">
      <alignment horizontal="center" vertical="center"/>
    </xf>
    <xf numFmtId="166" fontId="18" fillId="0" borderId="38" xfId="0" applyNumberFormat="1" applyFont="1" applyBorder="1" applyAlignment="1">
      <alignment horizontal="center" vertical="center"/>
    </xf>
    <xf numFmtId="166" fontId="18" fillId="0" borderId="35" xfId="0" applyNumberFormat="1" applyFont="1" applyBorder="1" applyAlignment="1">
      <alignment horizontal="center" vertical="center"/>
    </xf>
    <xf numFmtId="0" fontId="18" fillId="0" borderId="39" xfId="0" applyNumberFormat="1" applyFont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0" xfId="0" applyNumberFormat="1" applyFont="1" applyBorder="1" applyAlignment="1">
      <alignment vertical="center" wrapText="1"/>
    </xf>
    <xf numFmtId="0" fontId="18" fillId="0" borderId="0" xfId="0" applyNumberFormat="1" applyFont="1" applyAlignment="1">
      <alignment horizontal="center" vertical="center"/>
    </xf>
    <xf numFmtId="166" fontId="26" fillId="0" borderId="0" xfId="0" applyNumberFormat="1" applyFont="1" applyBorder="1" applyAlignment="1">
      <alignment vertical="center"/>
    </xf>
    <xf numFmtId="166" fontId="18" fillId="0" borderId="0" xfId="0" applyNumberFormat="1" applyFont="1" applyAlignment="1">
      <alignment horizontal="center" vertical="center" wrapText="1"/>
    </xf>
    <xf numFmtId="166" fontId="18" fillId="0" borderId="40" xfId="0" applyNumberFormat="1" applyFont="1" applyBorder="1" applyAlignment="1">
      <alignment horizontal="center" vertical="center"/>
    </xf>
    <xf numFmtId="166" fontId="18" fillId="0" borderId="41" xfId="0" applyNumberFormat="1" applyFont="1" applyBorder="1" applyAlignment="1">
      <alignment horizontal="center" vertical="center"/>
    </xf>
    <xf numFmtId="166" fontId="18" fillId="0" borderId="42" xfId="0" applyNumberFormat="1" applyFont="1" applyBorder="1" applyAlignment="1">
      <alignment horizontal="center" vertical="center"/>
    </xf>
    <xf numFmtId="0" fontId="18" fillId="0" borderId="39" xfId="89" applyFont="1" applyFill="1" applyBorder="1" applyAlignment="1" applyProtection="1">
      <alignment horizontal="left" vertical="center" wrapText="1"/>
      <protection/>
    </xf>
    <xf numFmtId="0" fontId="18" fillId="0" borderId="36" xfId="89" applyFont="1" applyFill="1" applyBorder="1" applyAlignment="1" applyProtection="1">
      <alignment horizontal="left" vertical="center" wrapText="1"/>
      <protection/>
    </xf>
    <xf numFmtId="0" fontId="22" fillId="0" borderId="20" xfId="0" applyFont="1" applyFill="1" applyBorder="1" applyAlignment="1">
      <alignment horizontal="center" vertical="center" wrapText="1"/>
    </xf>
    <xf numFmtId="0" fontId="22" fillId="0" borderId="20" xfId="88" applyNumberFormat="1" applyFont="1" applyFill="1" applyBorder="1" applyAlignment="1">
      <alignment horizontal="center" vertical="center"/>
      <protection/>
    </xf>
    <xf numFmtId="0" fontId="18" fillId="0" borderId="33" xfId="0" applyFont="1" applyFill="1" applyBorder="1" applyAlignment="1">
      <alignment horizontal="center" vertical="center" wrapText="1"/>
    </xf>
    <xf numFmtId="164" fontId="18" fillId="0" borderId="33" xfId="88" applyNumberFormat="1" applyFont="1" applyFill="1" applyBorder="1" applyAlignment="1">
      <alignment horizontal="center" vertical="center" wrapText="1"/>
      <protection/>
    </xf>
    <xf numFmtId="0" fontId="18" fillId="0" borderId="33" xfId="88" applyFont="1" applyFill="1" applyBorder="1" applyAlignment="1">
      <alignment vertical="center" wrapText="1"/>
      <protection/>
    </xf>
    <xf numFmtId="0" fontId="18" fillId="0" borderId="33" xfId="88" applyFont="1" applyFill="1" applyBorder="1" applyAlignment="1">
      <alignment horizontal="center" vertical="center" wrapText="1"/>
      <protection/>
    </xf>
    <xf numFmtId="0" fontId="18" fillId="0" borderId="33" xfId="88" applyNumberFormat="1" applyFont="1" applyFill="1" applyBorder="1" applyAlignment="1">
      <alignment horizontal="center" vertical="center"/>
      <protection/>
    </xf>
    <xf numFmtId="0" fontId="18" fillId="0" borderId="33" xfId="88" applyNumberFormat="1" applyFont="1" applyFill="1" applyBorder="1" applyAlignment="1">
      <alignment vertical="center" wrapText="1"/>
      <protection/>
    </xf>
    <xf numFmtId="0" fontId="18" fillId="0" borderId="21" xfId="88" applyNumberFormat="1" applyFont="1" applyFill="1" applyBorder="1" applyAlignment="1">
      <alignment vertical="center" wrapText="1"/>
      <protection/>
    </xf>
    <xf numFmtId="0" fontId="18" fillId="0" borderId="21" xfId="88" applyNumberFormat="1" applyFont="1" applyFill="1" applyBorder="1" applyAlignment="1">
      <alignment horizontal="center" vertical="center"/>
      <protection/>
    </xf>
    <xf numFmtId="0" fontId="22" fillId="0" borderId="22" xfId="88" applyNumberFormat="1" applyFont="1" applyFill="1" applyBorder="1" applyAlignment="1">
      <alignment vertical="top" wrapText="1"/>
      <protection/>
    </xf>
    <xf numFmtId="0" fontId="22" fillId="0" borderId="22" xfId="88" applyNumberFormat="1" applyFont="1" applyFill="1" applyBorder="1" applyAlignment="1">
      <alignment horizontal="center" vertical="center" wrapText="1"/>
      <protection/>
    </xf>
    <xf numFmtId="0" fontId="18" fillId="0" borderId="43" xfId="88" applyNumberFormat="1" applyFont="1" applyFill="1" applyBorder="1" applyAlignment="1">
      <alignment vertical="top" wrapText="1"/>
      <protection/>
    </xf>
    <xf numFmtId="0" fontId="18" fillId="0" borderId="43" xfId="88" applyNumberFormat="1" applyFont="1" applyFill="1" applyBorder="1" applyAlignment="1">
      <alignment horizontal="center" vertical="center" wrapText="1"/>
      <protection/>
    </xf>
    <xf numFmtId="0" fontId="18" fillId="0" borderId="43" xfId="88" applyNumberFormat="1" applyFont="1" applyFill="1" applyBorder="1" applyAlignment="1">
      <alignment horizontal="center" vertical="center"/>
      <protection/>
    </xf>
    <xf numFmtId="0" fontId="18" fillId="0" borderId="23" xfId="88" applyNumberFormat="1" applyFont="1" applyFill="1" applyBorder="1" applyAlignment="1">
      <alignment vertical="top" wrapText="1"/>
      <protection/>
    </xf>
    <xf numFmtId="0" fontId="18" fillId="0" borderId="23" xfId="88" applyNumberFormat="1" applyFont="1" applyFill="1" applyBorder="1" applyAlignment="1">
      <alignment horizontal="center" vertical="center" wrapText="1"/>
      <protection/>
    </xf>
    <xf numFmtId="0" fontId="18" fillId="0" borderId="43" xfId="88" applyFont="1" applyFill="1" applyBorder="1" applyAlignment="1">
      <alignment vertical="top" wrapText="1"/>
      <protection/>
    </xf>
    <xf numFmtId="0" fontId="18" fillId="0" borderId="43" xfId="88" applyFont="1" applyFill="1" applyBorder="1" applyAlignment="1">
      <alignment horizontal="center" vertical="center" wrapText="1"/>
      <protection/>
    </xf>
    <xf numFmtId="0" fontId="22" fillId="0" borderId="22" xfId="0" applyNumberFormat="1" applyFont="1" applyFill="1" applyBorder="1" applyAlignment="1">
      <alignment horizontal="left" vertical="top" wrapText="1"/>
    </xf>
    <xf numFmtId="0" fontId="18" fillId="0" borderId="33" xfId="88" applyNumberFormat="1" applyFont="1" applyFill="1" applyBorder="1" applyAlignment="1">
      <alignment horizontal="center" vertical="center" wrapText="1"/>
      <protection/>
    </xf>
    <xf numFmtId="0" fontId="18" fillId="0" borderId="21" xfId="88" applyNumberFormat="1" applyFont="1" applyFill="1" applyBorder="1" applyAlignment="1">
      <alignment horizontal="center" vertical="center" wrapText="1"/>
      <protection/>
    </xf>
    <xf numFmtId="165" fontId="22" fillId="0" borderId="19" xfId="89" applyNumberFormat="1" applyFont="1" applyFill="1" applyBorder="1" applyAlignment="1" applyProtection="1">
      <alignment horizontal="center" vertical="center" wrapText="1"/>
      <protection/>
    </xf>
    <xf numFmtId="165" fontId="22" fillId="0" borderId="20" xfId="89" applyNumberFormat="1" applyFont="1" applyFill="1" applyBorder="1" applyAlignment="1" applyProtection="1">
      <alignment horizontal="center" vertical="center" wrapText="1"/>
      <protection/>
    </xf>
    <xf numFmtId="0" fontId="22" fillId="0" borderId="20" xfId="89" applyFont="1" applyFill="1" applyBorder="1" applyAlignment="1" applyProtection="1">
      <alignment horizontal="center" vertical="center" wrapText="1"/>
      <protection/>
    </xf>
    <xf numFmtId="0" fontId="18" fillId="0" borderId="33" xfId="89" applyFont="1" applyFill="1" applyBorder="1" applyAlignment="1" applyProtection="1">
      <alignment horizontal="center" vertical="center" wrapText="1"/>
      <protection/>
    </xf>
    <xf numFmtId="165" fontId="18" fillId="0" borderId="33" xfId="89" applyNumberFormat="1" applyFont="1" applyFill="1" applyBorder="1" applyAlignment="1" applyProtection="1">
      <alignment horizontal="center" vertical="center" wrapText="1"/>
      <protection/>
    </xf>
    <xf numFmtId="0" fontId="18" fillId="0" borderId="33" xfId="89" applyNumberFormat="1" applyFont="1" applyFill="1" applyBorder="1" applyAlignment="1">
      <alignment horizontal="center" vertical="center"/>
      <protection/>
    </xf>
    <xf numFmtId="0" fontId="22" fillId="0" borderId="22" xfId="89" applyFont="1" applyFill="1" applyBorder="1" applyAlignment="1" applyProtection="1">
      <alignment horizontal="center" vertical="center" wrapText="1"/>
      <protection/>
    </xf>
    <xf numFmtId="0" fontId="22" fillId="0" borderId="22" xfId="89" applyNumberFormat="1" applyFont="1" applyFill="1" applyBorder="1" applyAlignment="1">
      <alignment horizontal="center" vertical="center"/>
      <protection/>
    </xf>
    <xf numFmtId="0" fontId="18" fillId="0" borderId="43" xfId="89" applyFont="1" applyFill="1" applyBorder="1" applyAlignment="1" applyProtection="1">
      <alignment horizontal="center" vertical="center" wrapText="1"/>
      <protection/>
    </xf>
    <xf numFmtId="0" fontId="18" fillId="0" borderId="23" xfId="89" applyFont="1" applyFill="1" applyBorder="1" applyAlignment="1" applyProtection="1">
      <alignment horizontal="center" vertical="center" wrapText="1"/>
      <protection/>
    </xf>
    <xf numFmtId="165" fontId="18" fillId="0" borderId="23" xfId="89" applyNumberFormat="1" applyFont="1" applyFill="1" applyBorder="1" applyAlignment="1" applyProtection="1">
      <alignment horizontal="center" vertical="center" wrapText="1"/>
      <protection/>
    </xf>
    <xf numFmtId="0" fontId="18" fillId="0" borderId="43" xfId="89" applyFont="1" applyFill="1" applyBorder="1" applyAlignment="1" applyProtection="1">
      <alignment horizontal="left" vertical="center" wrapText="1"/>
      <protection/>
    </xf>
    <xf numFmtId="0" fontId="22" fillId="0" borderId="22" xfId="89" applyFont="1" applyFill="1" applyBorder="1" applyAlignment="1" applyProtection="1">
      <alignment horizontal="left" vertical="top" wrapText="1"/>
      <protection/>
    </xf>
    <xf numFmtId="0" fontId="18" fillId="0" borderId="43" xfId="89" applyNumberFormat="1" applyFont="1" applyFill="1" applyBorder="1" applyAlignment="1" applyProtection="1">
      <alignment horizontal="center" vertical="center" wrapText="1"/>
      <protection/>
    </xf>
    <xf numFmtId="0" fontId="18" fillId="0" borderId="43" xfId="0" applyNumberFormat="1" applyFont="1" applyFill="1" applyBorder="1" applyAlignment="1" applyProtection="1">
      <alignment vertical="center"/>
      <protection/>
    </xf>
    <xf numFmtId="0" fontId="18" fillId="0" borderId="43" xfId="0" applyNumberFormat="1" applyFont="1" applyFill="1" applyBorder="1" applyAlignment="1" applyProtection="1">
      <alignment horizontal="center" vertical="center"/>
      <protection/>
    </xf>
    <xf numFmtId="0" fontId="22" fillId="0" borderId="34" xfId="0" applyNumberFormat="1" applyFont="1" applyFill="1" applyBorder="1" applyAlignment="1">
      <alignment horizontal="center" vertical="center" wrapText="1"/>
    </xf>
    <xf numFmtId="0" fontId="22" fillId="0" borderId="34" xfId="89" applyNumberFormat="1" applyFont="1" applyFill="1" applyBorder="1" applyAlignment="1" applyProtection="1" quotePrefix="1">
      <alignment horizontal="center" vertical="center" wrapText="1"/>
      <protection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22" xfId="89" applyNumberFormat="1" applyFont="1" applyFill="1" applyBorder="1" applyAlignment="1" applyProtection="1" quotePrefix="1">
      <alignment horizontal="center" vertical="center" wrapText="1"/>
      <protection/>
    </xf>
    <xf numFmtId="0" fontId="22" fillId="0" borderId="22" xfId="89" applyNumberFormat="1" applyFont="1" applyFill="1" applyBorder="1" applyAlignment="1" applyProtection="1">
      <alignment horizontal="left" vertical="center" wrapText="1"/>
      <protection/>
    </xf>
    <xf numFmtId="0" fontId="22" fillId="0" borderId="22" xfId="89" applyNumberFormat="1" applyFont="1" applyFill="1" applyBorder="1" applyAlignment="1" applyProtection="1">
      <alignment horizontal="center" vertical="center" wrapText="1"/>
      <protection/>
    </xf>
    <xf numFmtId="0" fontId="18" fillId="0" borderId="43" xfId="89" applyNumberFormat="1" applyFont="1" applyFill="1" applyBorder="1" applyAlignment="1" applyProtection="1">
      <alignment horizontal="left" vertical="center" wrapText="1"/>
      <protection/>
    </xf>
    <xf numFmtId="0" fontId="18" fillId="0" borderId="43" xfId="88" applyNumberFormat="1" applyFont="1" applyFill="1" applyBorder="1" applyAlignment="1" quotePrefix="1">
      <alignment horizontal="center" vertical="center" wrapText="1"/>
      <protection/>
    </xf>
    <xf numFmtId="0" fontId="18" fillId="0" borderId="23" xfId="89" applyNumberFormat="1" applyFont="1" applyFill="1" applyBorder="1" applyAlignment="1" applyProtection="1">
      <alignment horizontal="center" vertical="center" wrapText="1"/>
      <protection/>
    </xf>
    <xf numFmtId="0" fontId="18" fillId="0" borderId="23" xfId="88" applyNumberFormat="1" applyFont="1" applyFill="1" applyBorder="1" applyAlignment="1" quotePrefix="1">
      <alignment horizontal="center" vertical="center" wrapText="1"/>
      <protection/>
    </xf>
    <xf numFmtId="0" fontId="22" fillId="0" borderId="20" xfId="89" applyFont="1" applyFill="1" applyBorder="1" applyAlignment="1" applyProtection="1">
      <alignment horizontal="left" vertical="top" wrapText="1"/>
      <protection/>
    </xf>
    <xf numFmtId="2" fontId="22" fillId="0" borderId="20" xfId="89" applyNumberFormat="1" applyFont="1" applyFill="1" applyBorder="1" applyAlignment="1">
      <alignment horizontal="center" vertical="center"/>
      <protection/>
    </xf>
    <xf numFmtId="0" fontId="18" fillId="0" borderId="33" xfId="89" applyFont="1" applyFill="1" applyBorder="1" applyAlignment="1" applyProtection="1">
      <alignment horizontal="left" vertical="top" wrapText="1"/>
      <protection/>
    </xf>
    <xf numFmtId="2" fontId="18" fillId="0" borderId="33" xfId="89" applyNumberFormat="1" applyFont="1" applyFill="1" applyBorder="1" applyAlignment="1">
      <alignment horizontal="center" vertical="center"/>
      <protection/>
    </xf>
    <xf numFmtId="0" fontId="18" fillId="0" borderId="43" xfId="89" applyNumberFormat="1" applyFont="1" applyFill="1" applyBorder="1" applyAlignment="1" applyProtection="1" quotePrefix="1">
      <alignment horizontal="center" vertical="center" wrapText="1"/>
      <protection/>
    </xf>
    <xf numFmtId="0" fontId="18" fillId="0" borderId="22" xfId="88" applyNumberFormat="1" applyFont="1" applyFill="1" applyBorder="1" applyAlignment="1">
      <alignment horizontal="center" vertical="center" wrapText="1"/>
      <protection/>
    </xf>
    <xf numFmtId="0" fontId="18" fillId="0" borderId="23" xfId="89" applyNumberFormat="1" applyFont="1" applyFill="1" applyBorder="1" applyAlignment="1" applyProtection="1" quotePrefix="1">
      <alignment horizontal="center" vertical="center" wrapText="1"/>
      <protection/>
    </xf>
    <xf numFmtId="0" fontId="18" fillId="0" borderId="23" xfId="89" applyNumberFormat="1" applyFont="1" applyFill="1" applyBorder="1" applyAlignment="1" applyProtection="1">
      <alignment horizontal="left" vertical="center" wrapText="1"/>
      <protection/>
    </xf>
    <xf numFmtId="0" fontId="18" fillId="0" borderId="23" xfId="89" applyFont="1" applyFill="1" applyBorder="1" applyAlignment="1" applyProtection="1">
      <alignment horizontal="left" vertical="top" wrapText="1"/>
      <protection/>
    </xf>
    <xf numFmtId="0" fontId="22" fillId="0" borderId="22" xfId="88" applyFont="1" applyFill="1" applyBorder="1" applyAlignment="1">
      <alignment horizontal="left" vertical="top" wrapText="1"/>
      <protection/>
    </xf>
    <xf numFmtId="0" fontId="18" fillId="0" borderId="23" xfId="0" applyFont="1" applyFill="1" applyBorder="1" applyAlignment="1">
      <alignment horizontal="center" vertical="center" wrapText="1"/>
    </xf>
    <xf numFmtId="0" fontId="18" fillId="0" borderId="23" xfId="88" applyFont="1" applyFill="1" applyBorder="1" applyAlignment="1">
      <alignment horizontal="left" vertical="top" wrapText="1"/>
      <protection/>
    </xf>
    <xf numFmtId="0" fontId="22" fillId="0" borderId="23" xfId="0" applyNumberFormat="1" applyFont="1" applyFill="1" applyBorder="1" applyAlignment="1">
      <alignment horizontal="center" vertical="center" wrapText="1"/>
    </xf>
    <xf numFmtId="0" fontId="22" fillId="0" borderId="23" xfId="89" applyNumberFormat="1" applyFont="1" applyFill="1" applyBorder="1" applyAlignment="1" applyProtection="1" quotePrefix="1">
      <alignment horizontal="center" vertical="center" wrapText="1"/>
      <protection/>
    </xf>
    <xf numFmtId="0" fontId="22" fillId="0" borderId="43" xfId="89" applyNumberFormat="1" applyFont="1" applyFill="1" applyBorder="1" applyAlignment="1" applyProtection="1">
      <alignment horizontal="left" vertical="center" wrapText="1"/>
      <protection/>
    </xf>
    <xf numFmtId="0" fontId="22" fillId="0" borderId="43" xfId="89" applyNumberFormat="1" applyFont="1" applyFill="1" applyBorder="1" applyAlignment="1" applyProtection="1">
      <alignment horizontal="center" vertical="center" wrapText="1"/>
      <protection/>
    </xf>
    <xf numFmtId="0" fontId="22" fillId="0" borderId="43" xfId="89" applyNumberFormat="1" applyFont="1" applyFill="1" applyBorder="1" applyAlignment="1">
      <alignment horizontal="center" vertical="center"/>
      <protection/>
    </xf>
    <xf numFmtId="164" fontId="22" fillId="0" borderId="44" xfId="88" applyNumberFormat="1" applyFont="1" applyFill="1" applyBorder="1" applyAlignment="1">
      <alignment horizontal="center" vertical="center" wrapText="1"/>
      <protection/>
    </xf>
    <xf numFmtId="0" fontId="22" fillId="0" borderId="33" xfId="88" applyFont="1" applyFill="1" applyBorder="1" applyAlignment="1">
      <alignment vertical="center" wrapText="1"/>
      <protection/>
    </xf>
    <xf numFmtId="0" fontId="22" fillId="0" borderId="33" xfId="88" applyFont="1" applyFill="1" applyBorder="1" applyAlignment="1">
      <alignment horizontal="center" vertical="center" wrapText="1"/>
      <protection/>
    </xf>
    <xf numFmtId="2" fontId="22" fillId="0" borderId="33" xfId="88" applyNumberFormat="1" applyFont="1" applyFill="1" applyBorder="1" applyAlignment="1">
      <alignment horizontal="center" vertical="center"/>
      <protection/>
    </xf>
    <xf numFmtId="164" fontId="22" fillId="0" borderId="34" xfId="88" applyNumberFormat="1" applyFont="1" applyFill="1" applyBorder="1" applyAlignment="1" quotePrefix="1">
      <alignment horizontal="center" vertical="center" wrapText="1"/>
      <protection/>
    </xf>
    <xf numFmtId="164" fontId="22" fillId="0" borderId="22" xfId="88" applyNumberFormat="1" applyFont="1" applyFill="1" applyBorder="1" applyAlignment="1" quotePrefix="1">
      <alignment horizontal="center" vertical="center" wrapText="1"/>
      <protection/>
    </xf>
    <xf numFmtId="164" fontId="18" fillId="0" borderId="23" xfId="88" applyNumberFormat="1" applyFont="1" applyFill="1" applyBorder="1" applyAlignment="1" quotePrefix="1">
      <alignment horizontal="center" vertical="center" wrapText="1"/>
      <protection/>
    </xf>
    <xf numFmtId="0" fontId="22" fillId="0" borderId="22" xfId="88" applyNumberFormat="1" applyFont="1" applyFill="1" applyBorder="1" applyAlignment="1" quotePrefix="1">
      <alignment horizontal="center" vertical="center" wrapText="1"/>
      <protection/>
    </xf>
    <xf numFmtId="164" fontId="18" fillId="0" borderId="43" xfId="88" applyNumberFormat="1" applyFont="1" applyFill="1" applyBorder="1" applyAlignment="1" quotePrefix="1">
      <alignment horizontal="center" vertical="center" wrapText="1"/>
      <protection/>
    </xf>
    <xf numFmtId="0" fontId="18" fillId="0" borderId="23" xfId="0" applyNumberFormat="1" applyFont="1" applyFill="1" applyBorder="1" applyAlignment="1">
      <alignment vertical="center"/>
    </xf>
    <xf numFmtId="165" fontId="22" fillId="0" borderId="22" xfId="89" applyNumberFormat="1" applyFont="1" applyFill="1" applyBorder="1" applyAlignment="1" applyProtection="1" quotePrefix="1">
      <alignment horizontal="center" vertical="center" wrapText="1"/>
      <protection/>
    </xf>
    <xf numFmtId="165" fontId="22" fillId="0" borderId="22" xfId="89" applyNumberFormat="1" applyFont="1" applyFill="1" applyBorder="1" applyAlignment="1" applyProtection="1">
      <alignment horizontal="center" vertical="center" wrapText="1"/>
      <protection/>
    </xf>
    <xf numFmtId="165" fontId="18" fillId="0" borderId="23" xfId="89" applyNumberFormat="1" applyFont="1" applyFill="1" applyBorder="1" applyAlignment="1" applyProtection="1" quotePrefix="1">
      <alignment horizontal="center" vertical="center" wrapText="1"/>
      <protection/>
    </xf>
    <xf numFmtId="4" fontId="18" fillId="0" borderId="26" xfId="0" applyNumberFormat="1" applyFont="1" applyBorder="1" applyAlignment="1">
      <alignment horizontal="center" vertical="center"/>
    </xf>
    <xf numFmtId="166" fontId="18" fillId="0" borderId="26" xfId="0" applyNumberFormat="1" applyFont="1" applyBorder="1" applyAlignment="1">
      <alignment horizontal="center" vertical="center"/>
    </xf>
    <xf numFmtId="2" fontId="18" fillId="0" borderId="26" xfId="0" applyNumberFormat="1" applyFont="1" applyBorder="1" applyAlignment="1">
      <alignment horizontal="center" vertical="center"/>
    </xf>
    <xf numFmtId="166" fontId="18" fillId="0" borderId="19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Alignment="1">
      <alignment wrapText="1"/>
    </xf>
    <xf numFmtId="2" fontId="18" fillId="0" borderId="0" xfId="0" applyNumberFormat="1" applyFont="1" applyAlignment="1">
      <alignment/>
    </xf>
    <xf numFmtId="2" fontId="18" fillId="0" borderId="0" xfId="0" applyNumberFormat="1" applyFont="1" applyBorder="1" applyAlignment="1">
      <alignment/>
    </xf>
    <xf numFmtId="1" fontId="18" fillId="0" borderId="19" xfId="0" applyNumberFormat="1" applyFont="1" applyBorder="1" applyAlignment="1">
      <alignment horizontal="left" vertical="center" indent="3"/>
    </xf>
    <xf numFmtId="1" fontId="18" fillId="0" borderId="19" xfId="0" applyNumberFormat="1" applyFont="1" applyBorder="1" applyAlignment="1">
      <alignment horizontal="center" vertical="center"/>
    </xf>
    <xf numFmtId="166" fontId="55" fillId="0" borderId="21" xfId="0" applyNumberFormat="1" applyFont="1" applyBorder="1" applyAlignment="1">
      <alignment horizontal="center" vertical="center" wrapText="1"/>
    </xf>
    <xf numFmtId="2" fontId="18" fillId="0" borderId="26" xfId="0" applyNumberFormat="1" applyFont="1" applyBorder="1" applyAlignment="1">
      <alignment vertical="center"/>
    </xf>
    <xf numFmtId="166" fontId="18" fillId="0" borderId="26" xfId="0" applyNumberFormat="1" applyFont="1" applyBorder="1" applyAlignment="1">
      <alignment vertical="center"/>
    </xf>
    <xf numFmtId="0" fontId="18" fillId="0" borderId="22" xfId="0" applyNumberFormat="1" applyFont="1" applyBorder="1" applyAlignment="1">
      <alignment horizontal="center" vertical="center"/>
    </xf>
    <xf numFmtId="1" fontId="18" fillId="0" borderId="33" xfId="89" applyNumberFormat="1" applyFont="1" applyFill="1" applyBorder="1" applyAlignment="1">
      <alignment horizontal="center" vertical="center"/>
      <protection/>
    </xf>
    <xf numFmtId="1" fontId="18" fillId="0" borderId="43" xfId="88" applyNumberFormat="1" applyFont="1" applyFill="1" applyBorder="1" applyAlignment="1">
      <alignment horizontal="center" vertical="center"/>
      <protection/>
    </xf>
    <xf numFmtId="1" fontId="18" fillId="0" borderId="43" xfId="0" applyNumberFormat="1" applyFont="1" applyFill="1" applyBorder="1" applyAlignment="1" applyProtection="1">
      <alignment horizontal="center" vertical="center"/>
      <protection/>
    </xf>
    <xf numFmtId="1" fontId="18" fillId="0" borderId="33" xfId="0" applyNumberFormat="1" applyFont="1" applyFill="1" applyBorder="1" applyAlignment="1" applyProtection="1">
      <alignment horizontal="center" vertical="center"/>
      <protection/>
    </xf>
    <xf numFmtId="0" fontId="20" fillId="55" borderId="0" xfId="0" applyFont="1" applyFill="1" applyBorder="1" applyAlignment="1">
      <alignment vertical="center"/>
    </xf>
    <xf numFmtId="0" fontId="20" fillId="0" borderId="0" xfId="89" applyFont="1" applyFill="1" applyBorder="1" applyAlignment="1">
      <alignment horizontal="left" vertical="center"/>
      <protection/>
    </xf>
    <xf numFmtId="0" fontId="22" fillId="0" borderId="44" xfId="0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166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166" fontId="29" fillId="0" borderId="21" xfId="0" applyNumberFormat="1" applyFont="1" applyBorder="1" applyAlignment="1">
      <alignment horizontal="center" vertical="center" wrapText="1"/>
    </xf>
    <xf numFmtId="1" fontId="18" fillId="0" borderId="23" xfId="89" applyNumberFormat="1" applyFont="1" applyFill="1" applyBorder="1" applyAlignment="1">
      <alignment horizontal="center" vertical="center"/>
      <protection/>
    </xf>
    <xf numFmtId="0" fontId="18" fillId="0" borderId="43" xfId="0" applyNumberFormat="1" applyFont="1" applyBorder="1" applyAlignment="1">
      <alignment horizontal="center" vertical="center"/>
    </xf>
    <xf numFmtId="166" fontId="18" fillId="0" borderId="45" xfId="0" applyNumberFormat="1" applyFont="1" applyBorder="1" applyAlignment="1">
      <alignment horizontal="center" vertical="center" wrapText="1"/>
    </xf>
    <xf numFmtId="0" fontId="22" fillId="0" borderId="33" xfId="89" applyNumberFormat="1" applyFont="1" applyFill="1" applyBorder="1" applyAlignment="1">
      <alignment horizontal="center" vertical="center"/>
      <protection/>
    </xf>
    <xf numFmtId="0" fontId="22" fillId="0" borderId="41" xfId="89" applyNumberFormat="1" applyFont="1" applyFill="1" applyBorder="1" applyAlignment="1">
      <alignment horizontal="center" vertical="center"/>
      <protection/>
    </xf>
    <xf numFmtId="0" fontId="22" fillId="0" borderId="46" xfId="89" applyNumberFormat="1" applyFont="1" applyFill="1" applyBorder="1" applyAlignment="1">
      <alignment horizontal="center" vertical="center"/>
      <protection/>
    </xf>
    <xf numFmtId="0" fontId="18" fillId="0" borderId="46" xfId="89" applyNumberFormat="1" applyFont="1" applyFill="1" applyBorder="1" applyAlignment="1">
      <alignment horizontal="center" vertical="center"/>
      <protection/>
    </xf>
    <xf numFmtId="0" fontId="30" fillId="0" borderId="33" xfId="89" applyFont="1" applyFill="1" applyBorder="1" applyAlignment="1" applyProtection="1">
      <alignment horizontal="left" vertical="center" wrapText="1"/>
      <protection/>
    </xf>
    <xf numFmtId="0" fontId="30" fillId="0" borderId="43" xfId="88" applyNumberFormat="1" applyFont="1" applyFill="1" applyBorder="1" applyAlignment="1">
      <alignment vertical="center" wrapText="1"/>
      <protection/>
    </xf>
    <xf numFmtId="0" fontId="30" fillId="0" borderId="43" xfId="89" applyFont="1" applyFill="1" applyBorder="1" applyAlignment="1" applyProtection="1">
      <alignment horizontal="left" vertical="center" wrapText="1"/>
      <protection/>
    </xf>
    <xf numFmtId="1" fontId="18" fillId="0" borderId="34" xfId="89" applyNumberFormat="1" applyFont="1" applyFill="1" applyBorder="1" applyAlignment="1" applyProtection="1">
      <alignment horizontal="center" vertical="center" wrapText="1"/>
      <protection/>
    </xf>
    <xf numFmtId="166" fontId="22" fillId="0" borderId="47" xfId="88" applyNumberFormat="1" applyFont="1" applyFill="1" applyBorder="1" applyAlignment="1">
      <alignment horizontal="center" vertical="center"/>
      <protection/>
    </xf>
    <xf numFmtId="166" fontId="18" fillId="0" borderId="30" xfId="88" applyNumberFormat="1" applyFont="1" applyFill="1" applyBorder="1" applyAlignment="1">
      <alignment horizontal="center" vertical="center"/>
      <protection/>
    </xf>
    <xf numFmtId="166" fontId="18" fillId="0" borderId="31" xfId="88" applyNumberFormat="1" applyFont="1" applyFill="1" applyBorder="1" applyAlignment="1">
      <alignment horizontal="center" vertical="center"/>
      <protection/>
    </xf>
    <xf numFmtId="166" fontId="18" fillId="0" borderId="30" xfId="89" applyNumberFormat="1" applyFont="1" applyFill="1" applyBorder="1" applyAlignment="1">
      <alignment horizontal="center" vertical="center"/>
      <protection/>
    </xf>
    <xf numFmtId="166" fontId="22" fillId="0" borderId="48" xfId="88" applyNumberFormat="1" applyFont="1" applyFill="1" applyBorder="1" applyAlignment="1">
      <alignment horizontal="left" vertical="center" wrapText="1"/>
      <protection/>
    </xf>
    <xf numFmtId="166" fontId="22" fillId="0" borderId="49" xfId="88" applyNumberFormat="1" applyFont="1" applyFill="1" applyBorder="1" applyAlignment="1">
      <alignment horizontal="center" vertical="center"/>
      <protection/>
    </xf>
    <xf numFmtId="166" fontId="18" fillId="0" borderId="50" xfId="0" applyNumberFormat="1" applyFont="1" applyFill="1" applyBorder="1" applyAlignment="1" applyProtection="1">
      <alignment horizontal="center" vertical="center"/>
      <protection/>
    </xf>
    <xf numFmtId="166" fontId="18" fillId="0" borderId="0" xfId="0" applyNumberFormat="1" applyFont="1" applyFill="1" applyBorder="1" applyAlignment="1" applyProtection="1">
      <alignment horizontal="center" vertical="center"/>
      <protection/>
    </xf>
    <xf numFmtId="166" fontId="52" fillId="0" borderId="0" xfId="0" applyNumberFormat="1" applyFont="1" applyFill="1" applyBorder="1" applyAlignment="1">
      <alignment horizontal="center" vertical="center" wrapText="1"/>
    </xf>
    <xf numFmtId="164" fontId="18" fillId="0" borderId="22" xfId="88" applyNumberFormat="1" applyFont="1" applyFill="1" applyBorder="1" applyAlignment="1" quotePrefix="1">
      <alignment horizontal="center" vertical="center" wrapText="1"/>
      <protection/>
    </xf>
    <xf numFmtId="0" fontId="18" fillId="0" borderId="22" xfId="88" applyFont="1" applyFill="1" applyBorder="1" applyAlignment="1">
      <alignment vertical="top" wrapText="1"/>
      <protection/>
    </xf>
    <xf numFmtId="0" fontId="18" fillId="0" borderId="22" xfId="88" applyFont="1" applyFill="1" applyBorder="1" applyAlignment="1">
      <alignment horizontal="center" vertical="center" wrapText="1"/>
      <protection/>
    </xf>
    <xf numFmtId="165" fontId="22" fillId="0" borderId="51" xfId="89" applyNumberFormat="1" applyFont="1" applyFill="1" applyBorder="1" applyAlignment="1" applyProtection="1">
      <alignment horizontal="center" vertical="center" wrapText="1"/>
      <protection/>
    </xf>
    <xf numFmtId="0" fontId="18" fillId="0" borderId="52" xfId="89" applyNumberFormat="1" applyFont="1" applyFill="1" applyBorder="1" applyAlignment="1">
      <alignment horizontal="center" vertical="center"/>
      <protection/>
    </xf>
    <xf numFmtId="172" fontId="18" fillId="0" borderId="22" xfId="88" applyNumberFormat="1" applyFont="1" applyFill="1" applyBorder="1" applyAlignment="1">
      <alignment horizontal="center" vertical="center"/>
      <protection/>
    </xf>
    <xf numFmtId="166" fontId="18" fillId="0" borderId="35" xfId="0" applyNumberFormat="1" applyFont="1" applyBorder="1" applyAlignment="1">
      <alignment horizontal="center" vertical="center" wrapText="1"/>
    </xf>
    <xf numFmtId="166" fontId="18" fillId="0" borderId="47" xfId="0" applyNumberFormat="1" applyFont="1" applyBorder="1" applyAlignment="1">
      <alignment horizontal="center" vertical="center"/>
    </xf>
    <xf numFmtId="166" fontId="18" fillId="0" borderId="20" xfId="0" applyNumberFormat="1" applyFont="1" applyBorder="1" applyAlignment="1">
      <alignment horizontal="center" vertical="center"/>
    </xf>
    <xf numFmtId="166" fontId="18" fillId="0" borderId="27" xfId="0" applyNumberFormat="1" applyFont="1" applyBorder="1" applyAlignment="1">
      <alignment horizontal="center" vertical="center"/>
    </xf>
    <xf numFmtId="166" fontId="18" fillId="0" borderId="44" xfId="0" applyNumberFormat="1" applyFont="1" applyBorder="1" applyAlignment="1">
      <alignment horizontal="center" vertical="center" wrapText="1"/>
    </xf>
    <xf numFmtId="166" fontId="18" fillId="0" borderId="19" xfId="0" applyNumberFormat="1" applyFont="1" applyBorder="1" applyAlignment="1">
      <alignment horizontal="center" vertical="center" wrapText="1"/>
    </xf>
    <xf numFmtId="166" fontId="18" fillId="0" borderId="53" xfId="0" applyNumberFormat="1" applyFont="1" applyBorder="1" applyAlignment="1">
      <alignment horizontal="center" vertical="center" wrapText="1"/>
    </xf>
    <xf numFmtId="166" fontId="22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43" xfId="89" applyNumberFormat="1" applyFont="1" applyFill="1" applyBorder="1" applyAlignment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vertical="center"/>
      <protection/>
    </xf>
    <xf numFmtId="0" fontId="18" fillId="0" borderId="23" xfId="89" applyNumberFormat="1" applyFont="1" applyFill="1" applyBorder="1" applyAlignment="1">
      <alignment horizontal="center" vertical="center"/>
      <protection/>
    </xf>
    <xf numFmtId="165" fontId="22" fillId="0" borderId="34" xfId="89" applyNumberFormat="1" applyFont="1" applyFill="1" applyBorder="1" applyAlignment="1" applyProtection="1">
      <alignment horizontal="center" vertical="center" wrapText="1"/>
      <protection/>
    </xf>
    <xf numFmtId="165" fontId="18" fillId="0" borderId="43" xfId="89" applyNumberFormat="1" applyFont="1" applyFill="1" applyBorder="1" applyAlignment="1" applyProtection="1" quotePrefix="1">
      <alignment horizontal="center" vertical="center" wrapText="1"/>
      <protection/>
    </xf>
    <xf numFmtId="0" fontId="22" fillId="0" borderId="0" xfId="89" applyFont="1" applyFill="1" applyBorder="1" applyAlignment="1">
      <alignment horizontal="left" vertical="center"/>
      <protection/>
    </xf>
    <xf numFmtId="0" fontId="18" fillId="0" borderId="0" xfId="89" applyFont="1" applyFill="1" applyBorder="1" applyAlignment="1">
      <alignment horizontal="left" vertical="center"/>
      <protection/>
    </xf>
    <xf numFmtId="0" fontId="22" fillId="0" borderId="54" xfId="88" applyFont="1" applyFill="1" applyBorder="1" applyAlignment="1">
      <alignment vertical="center" wrapText="1"/>
      <protection/>
    </xf>
    <xf numFmtId="0" fontId="22" fillId="0" borderId="55" xfId="88" applyFont="1" applyFill="1" applyBorder="1" applyAlignment="1">
      <alignment vertical="center" wrapText="1"/>
      <protection/>
    </xf>
    <xf numFmtId="0" fontId="30" fillId="0" borderId="23" xfId="89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/>
      <protection/>
    </xf>
    <xf numFmtId="0" fontId="31" fillId="0" borderId="19" xfId="0" applyFont="1" applyFill="1" applyBorder="1" applyAlignment="1">
      <alignment horizontal="center" vertical="center" wrapText="1"/>
    </xf>
    <xf numFmtId="0" fontId="31" fillId="0" borderId="20" xfId="88" applyFont="1" applyFill="1" applyBorder="1" applyAlignment="1">
      <alignment horizontal="center" vertical="center" wrapText="1"/>
      <protection/>
    </xf>
    <xf numFmtId="0" fontId="31" fillId="0" borderId="20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33" xfId="88" applyFont="1" applyFill="1" applyBorder="1" applyAlignment="1">
      <alignment horizontal="center" vertical="center" wrapText="1"/>
      <protection/>
    </xf>
    <xf numFmtId="0" fontId="32" fillId="0" borderId="33" xfId="88" applyNumberFormat="1" applyFont="1" applyFill="1" applyBorder="1" applyAlignment="1">
      <alignment horizontal="center" vertical="center" wrapText="1"/>
      <protection/>
    </xf>
    <xf numFmtId="0" fontId="32" fillId="0" borderId="21" xfId="88" applyNumberFormat="1" applyFont="1" applyFill="1" applyBorder="1" applyAlignment="1">
      <alignment horizontal="center" vertical="center" wrapText="1"/>
      <protection/>
    </xf>
    <xf numFmtId="0" fontId="56" fillId="0" borderId="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2" fillId="0" borderId="45" xfId="88" applyFont="1" applyFill="1" applyBorder="1" applyAlignment="1">
      <alignment horizontal="left" vertical="center" wrapText="1"/>
      <protection/>
    </xf>
    <xf numFmtId="0" fontId="22" fillId="0" borderId="48" xfId="88" applyFont="1" applyFill="1" applyBorder="1" applyAlignment="1">
      <alignment horizontal="left" vertical="center" wrapText="1"/>
      <protection/>
    </xf>
    <xf numFmtId="0" fontId="22" fillId="0" borderId="34" xfId="88" applyFont="1" applyFill="1" applyBorder="1" applyAlignment="1">
      <alignment horizontal="left" vertical="center" wrapText="1"/>
      <protection/>
    </xf>
    <xf numFmtId="164" fontId="31" fillId="0" borderId="20" xfId="88" applyNumberFormat="1" applyFont="1" applyFill="1" applyBorder="1" applyAlignment="1">
      <alignment horizontal="center" vertical="center" wrapText="1"/>
      <protection/>
    </xf>
    <xf numFmtId="164" fontId="32" fillId="0" borderId="21" xfId="88" applyNumberFormat="1" applyFont="1" applyFill="1" applyBorder="1" applyAlignment="1">
      <alignment horizontal="center" vertical="center" wrapText="1"/>
      <protection/>
    </xf>
    <xf numFmtId="164" fontId="31" fillId="0" borderId="19" xfId="88" applyNumberFormat="1" applyFont="1" applyFill="1" applyBorder="1" applyAlignment="1">
      <alignment horizontal="center" vertical="center" wrapText="1"/>
      <protection/>
    </xf>
    <xf numFmtId="164" fontId="32" fillId="0" borderId="33" xfId="88" applyNumberFormat="1" applyFont="1" applyFill="1" applyBorder="1" applyAlignment="1">
      <alignment horizontal="center" vertical="center" wrapText="1"/>
      <protection/>
    </xf>
    <xf numFmtId="0" fontId="32" fillId="0" borderId="33" xfId="88" applyNumberFormat="1" applyFont="1" applyFill="1" applyBorder="1" applyAlignment="1" quotePrefix="1">
      <alignment horizontal="center" vertical="center" wrapText="1"/>
      <protection/>
    </xf>
    <xf numFmtId="0" fontId="32" fillId="0" borderId="21" xfId="88" applyNumberFormat="1" applyFont="1" applyFill="1" applyBorder="1" applyAlignment="1" quotePrefix="1">
      <alignment horizontal="center" vertical="center" wrapText="1"/>
      <protection/>
    </xf>
    <xf numFmtId="1" fontId="22" fillId="0" borderId="22" xfId="88" applyNumberFormat="1" applyFont="1" applyFill="1" applyBorder="1" applyAlignment="1">
      <alignment horizontal="center" vertical="center" wrapText="1"/>
      <protection/>
    </xf>
    <xf numFmtId="1" fontId="18" fillId="0" borderId="43" xfId="89" applyNumberFormat="1" applyFont="1" applyFill="1" applyBorder="1" applyAlignment="1" applyProtection="1">
      <alignment horizontal="center" vertical="center" wrapText="1"/>
      <protection/>
    </xf>
    <xf numFmtId="1" fontId="22" fillId="0" borderId="22" xfId="0" applyNumberFormat="1" applyFont="1" applyFill="1" applyBorder="1" applyAlignment="1">
      <alignment horizontal="center" vertical="center" wrapText="1"/>
    </xf>
    <xf numFmtId="1" fontId="18" fillId="0" borderId="23" xfId="89" applyNumberFormat="1" applyFont="1" applyFill="1" applyBorder="1" applyAlignment="1" applyProtection="1">
      <alignment horizontal="center" vertical="center" wrapText="1"/>
      <protection/>
    </xf>
    <xf numFmtId="1" fontId="22" fillId="0" borderId="23" xfId="89" applyNumberFormat="1" applyFont="1" applyFill="1" applyBorder="1" applyAlignment="1" applyProtection="1">
      <alignment horizontal="center" vertical="center" wrapText="1"/>
      <protection/>
    </xf>
    <xf numFmtId="1" fontId="18" fillId="0" borderId="23" xfId="0" applyNumberFormat="1" applyFont="1" applyFill="1" applyBorder="1" applyAlignment="1">
      <alignment horizontal="center" vertical="center" wrapText="1"/>
    </xf>
    <xf numFmtId="0" fontId="22" fillId="0" borderId="34" xfId="89" applyNumberFormat="1" applyFont="1" applyFill="1" applyBorder="1" applyAlignment="1" applyProtection="1">
      <alignment horizontal="center" vertical="center" wrapText="1"/>
      <protection/>
    </xf>
    <xf numFmtId="1" fontId="18" fillId="0" borderId="43" xfId="88" applyNumberFormat="1" applyFont="1" applyFill="1" applyBorder="1" applyAlignment="1">
      <alignment horizontal="center" vertical="center" wrapText="1"/>
      <protection/>
    </xf>
    <xf numFmtId="1" fontId="22" fillId="0" borderId="34" xfId="89" applyNumberFormat="1" applyFont="1" applyFill="1" applyBorder="1" applyAlignment="1" applyProtection="1">
      <alignment horizontal="center" vertical="center" wrapText="1"/>
      <protection/>
    </xf>
    <xf numFmtId="1" fontId="18" fillId="0" borderId="0" xfId="89" applyNumberFormat="1" applyFont="1" applyFill="1" applyBorder="1" applyAlignment="1" applyProtection="1">
      <alignment horizontal="center" vertical="center" wrapText="1"/>
      <protection/>
    </xf>
    <xf numFmtId="1" fontId="18" fillId="0" borderId="33" xfId="89" applyNumberFormat="1" applyFont="1" applyFill="1" applyBorder="1" applyAlignment="1" applyProtection="1">
      <alignment horizontal="center" vertical="center" wrapText="1"/>
      <protection/>
    </xf>
    <xf numFmtId="0" fontId="22" fillId="0" borderId="23" xfId="89" applyNumberFormat="1" applyFont="1" applyFill="1" applyBorder="1" applyAlignment="1" applyProtection="1">
      <alignment horizontal="center" vertical="center" wrapText="1"/>
      <protection/>
    </xf>
    <xf numFmtId="0" fontId="22" fillId="0" borderId="23" xfId="88" applyNumberFormat="1" applyFont="1" applyFill="1" applyBorder="1" applyAlignment="1">
      <alignment horizontal="center" vertical="center" wrapText="1"/>
      <protection/>
    </xf>
    <xf numFmtId="1" fontId="22" fillId="0" borderId="56" xfId="89" applyNumberFormat="1" applyFont="1" applyFill="1" applyBorder="1" applyAlignment="1" applyProtection="1">
      <alignment horizontal="center" vertical="center" wrapText="1"/>
      <protection/>
    </xf>
    <xf numFmtId="1" fontId="22" fillId="0" borderId="20" xfId="89" applyNumberFormat="1" applyFont="1" applyFill="1" applyBorder="1" applyAlignment="1" applyProtection="1">
      <alignment horizontal="center" vertical="center" wrapText="1"/>
      <protection/>
    </xf>
    <xf numFmtId="0" fontId="22" fillId="0" borderId="34" xfId="89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2" fillId="0" borderId="19" xfId="88" applyFont="1" applyFill="1" applyBorder="1" applyAlignment="1">
      <alignment horizontal="center" vertical="center" wrapText="1"/>
      <protection/>
    </xf>
    <xf numFmtId="0" fontId="18" fillId="0" borderId="43" xfId="0" applyFont="1" applyFill="1" applyBorder="1" applyAlignment="1">
      <alignment horizontal="center" vertical="center" wrapText="1"/>
    </xf>
    <xf numFmtId="0" fontId="18" fillId="0" borderId="43" xfId="0" applyNumberFormat="1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/>
    </xf>
    <xf numFmtId="0" fontId="22" fillId="0" borderId="22" xfId="88" applyFont="1" applyFill="1" applyBorder="1" applyAlignment="1" quotePrefix="1">
      <alignment horizontal="left" vertical="center" wrapText="1"/>
      <protection/>
    </xf>
    <xf numFmtId="4" fontId="22" fillId="0" borderId="22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30" fillId="0" borderId="23" xfId="88" applyFont="1" applyFill="1" applyBorder="1" applyAlignment="1" quotePrefix="1">
      <alignment horizontal="left" vertical="center" wrapText="1"/>
      <protection/>
    </xf>
    <xf numFmtId="4" fontId="18" fillId="0" borderId="23" xfId="0" applyNumberFormat="1" applyFont="1" applyFill="1" applyBorder="1" applyAlignment="1">
      <alignment horizontal="center" vertical="center"/>
    </xf>
    <xf numFmtId="0" fontId="18" fillId="0" borderId="34" xfId="88" applyNumberFormat="1" applyFont="1" applyFill="1" applyBorder="1" applyAlignment="1">
      <alignment horizontal="center" vertical="center" wrapText="1"/>
      <protection/>
    </xf>
    <xf numFmtId="164" fontId="18" fillId="0" borderId="34" xfId="88" applyNumberFormat="1" applyFont="1" applyFill="1" applyBorder="1" applyAlignment="1" quotePrefix="1">
      <alignment horizontal="center" vertical="center" wrapText="1"/>
      <protection/>
    </xf>
    <xf numFmtId="0" fontId="18" fillId="0" borderId="34" xfId="88" applyFont="1" applyFill="1" applyBorder="1" applyAlignment="1">
      <alignment vertical="center" wrapText="1"/>
      <protection/>
    </xf>
    <xf numFmtId="0" fontId="18" fillId="0" borderId="34" xfId="88" applyFont="1" applyFill="1" applyBorder="1" applyAlignment="1">
      <alignment horizontal="center" vertical="center" wrapText="1"/>
      <protection/>
    </xf>
    <xf numFmtId="4" fontId="18" fillId="0" borderId="34" xfId="88" applyNumberFormat="1" applyFont="1" applyFill="1" applyBorder="1" applyAlignment="1">
      <alignment horizontal="center" vertical="center" wrapText="1"/>
      <protection/>
    </xf>
    <xf numFmtId="0" fontId="22" fillId="0" borderId="43" xfId="0" applyFont="1" applyFill="1" applyBorder="1" applyAlignment="1">
      <alignment horizontal="center" vertical="center"/>
    </xf>
    <xf numFmtId="164" fontId="22" fillId="0" borderId="43" xfId="88" applyNumberFormat="1" applyFont="1" applyFill="1" applyBorder="1" applyAlignment="1" quotePrefix="1">
      <alignment horizontal="center" vertical="center" wrapText="1"/>
      <protection/>
    </xf>
    <xf numFmtId="0" fontId="30" fillId="0" borderId="43" xfId="88" applyFont="1" applyFill="1" applyBorder="1" applyAlignment="1">
      <alignment horizontal="left" vertical="center" wrapText="1"/>
      <protection/>
    </xf>
    <xf numFmtId="4" fontId="18" fillId="0" borderId="43" xfId="0" applyNumberFormat="1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left" vertical="center" wrapText="1"/>
    </xf>
    <xf numFmtId="0" fontId="18" fillId="0" borderId="52" xfId="0" applyFont="1" applyFill="1" applyBorder="1" applyAlignment="1">
      <alignment horizontal="left" vertical="center" wrapText="1"/>
    </xf>
    <xf numFmtId="0" fontId="18" fillId="0" borderId="43" xfId="0" applyFont="1" applyFill="1" applyBorder="1" applyAlignment="1">
      <alignment horizontal="left" vertical="center" wrapText="1"/>
    </xf>
    <xf numFmtId="0" fontId="22" fillId="0" borderId="34" xfId="0" applyFont="1" applyFill="1" applyBorder="1" applyAlignment="1">
      <alignment horizontal="left" vertical="center" wrapText="1"/>
    </xf>
    <xf numFmtId="166" fontId="18" fillId="0" borderId="44" xfId="0" applyNumberFormat="1" applyFont="1" applyFill="1" applyBorder="1" applyAlignment="1">
      <alignment horizontal="center" vertical="center" wrapText="1"/>
    </xf>
    <xf numFmtId="0" fontId="22" fillId="0" borderId="57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0" fontId="30" fillId="0" borderId="61" xfId="0" applyFont="1" applyFill="1" applyBorder="1" applyAlignment="1">
      <alignment horizontal="left" vertical="center" wrapText="1"/>
    </xf>
    <xf numFmtId="165" fontId="22" fillId="0" borderId="34" xfId="89" applyNumberFormat="1" applyFont="1" applyFill="1" applyBorder="1" applyAlignment="1" applyProtection="1" quotePrefix="1">
      <alignment horizontal="center" vertical="center" wrapText="1"/>
      <protection/>
    </xf>
    <xf numFmtId="0" fontId="22" fillId="0" borderId="22" xfId="89" applyFont="1" applyFill="1" applyBorder="1" applyAlignment="1" applyProtection="1" quotePrefix="1">
      <alignment horizontal="left" vertical="center" wrapText="1"/>
      <protection/>
    </xf>
    <xf numFmtId="4" fontId="22" fillId="0" borderId="22" xfId="0" applyNumberFormat="1" applyFont="1" applyFill="1" applyBorder="1" applyAlignment="1">
      <alignment horizontal="center" vertical="center" wrapText="1"/>
    </xf>
    <xf numFmtId="1" fontId="22" fillId="0" borderId="43" xfId="0" applyNumberFormat="1" applyFont="1" applyFill="1" applyBorder="1" applyAlignment="1">
      <alignment horizontal="center" vertical="center" wrapText="1"/>
    </xf>
    <xf numFmtId="165" fontId="22" fillId="0" borderId="43" xfId="89" applyNumberFormat="1" applyFont="1" applyFill="1" applyBorder="1" applyAlignment="1" applyProtection="1" quotePrefix="1">
      <alignment horizontal="center" vertical="center" wrapText="1"/>
      <protection/>
    </xf>
    <xf numFmtId="4" fontId="18" fillId="0" borderId="43" xfId="0" applyNumberFormat="1" applyFont="1" applyFill="1" applyBorder="1" applyAlignment="1">
      <alignment horizontal="center" vertical="center" wrapText="1"/>
    </xf>
    <xf numFmtId="4" fontId="18" fillId="0" borderId="23" xfId="0" applyNumberFormat="1" applyFont="1" applyFill="1" applyBorder="1" applyAlignment="1">
      <alignment horizontal="center" vertical="center" wrapText="1"/>
    </xf>
    <xf numFmtId="0" fontId="22" fillId="0" borderId="43" xfId="89" applyFont="1" applyFill="1" applyBorder="1" applyAlignment="1" applyProtection="1" quotePrefix="1">
      <alignment horizontal="left" vertical="center" wrapText="1"/>
      <protection/>
    </xf>
    <xf numFmtId="0" fontId="30" fillId="56" borderId="43" xfId="89" applyFont="1" applyFill="1" applyBorder="1" applyAlignment="1" applyProtection="1">
      <alignment horizontal="left" vertical="center" wrapText="1"/>
      <protection/>
    </xf>
    <xf numFmtId="0" fontId="18" fillId="56" borderId="43" xfId="89" applyFont="1" applyFill="1" applyBorder="1" applyAlignment="1" applyProtection="1">
      <alignment horizontal="center" vertical="center" wrapText="1"/>
      <protection/>
    </xf>
    <xf numFmtId="4" fontId="18" fillId="56" borderId="43" xfId="0" applyNumberFormat="1" applyFont="1" applyFill="1" applyBorder="1" applyAlignment="1">
      <alignment horizontal="center" vertical="center" wrapText="1"/>
    </xf>
    <xf numFmtId="1" fontId="18" fillId="0" borderId="43" xfId="0" applyNumberFormat="1" applyFont="1" applyFill="1" applyBorder="1" applyAlignment="1">
      <alignment horizontal="center" vertical="center" wrapText="1"/>
    </xf>
    <xf numFmtId="0" fontId="30" fillId="56" borderId="23" xfId="89" applyFont="1" applyFill="1" applyBorder="1" applyAlignment="1" applyProtection="1">
      <alignment horizontal="left" vertical="center" wrapText="1"/>
      <protection/>
    </xf>
    <xf numFmtId="0" fontId="18" fillId="0" borderId="50" xfId="89" applyFont="1" applyFill="1" applyBorder="1" applyAlignment="1" applyProtection="1">
      <alignment horizontal="center" vertical="center" wrapText="1"/>
      <protection/>
    </xf>
    <xf numFmtId="0" fontId="22" fillId="0" borderId="22" xfId="89" applyFont="1" applyFill="1" applyBorder="1" applyAlignment="1" applyProtection="1">
      <alignment horizontal="left" vertical="center" wrapText="1"/>
      <protection/>
    </xf>
    <xf numFmtId="4" fontId="22" fillId="0" borderId="22" xfId="89" applyNumberFormat="1" applyFont="1" applyFill="1" applyBorder="1" applyAlignment="1">
      <alignment horizontal="center" vertical="center"/>
      <protection/>
    </xf>
    <xf numFmtId="4" fontId="18" fillId="0" borderId="23" xfId="89" applyNumberFormat="1" applyFont="1" applyFill="1" applyBorder="1" applyAlignment="1">
      <alignment horizontal="center" vertical="center"/>
      <protection/>
    </xf>
    <xf numFmtId="1" fontId="22" fillId="0" borderId="22" xfId="89" applyNumberFormat="1" applyFont="1" applyFill="1" applyBorder="1" applyAlignment="1" applyProtection="1">
      <alignment horizontal="center" vertical="center" wrapText="1"/>
      <protection/>
    </xf>
    <xf numFmtId="0" fontId="18" fillId="56" borderId="50" xfId="89" applyFont="1" applyFill="1" applyBorder="1" applyAlignment="1" applyProtection="1">
      <alignment horizontal="center" vertical="center" wrapText="1"/>
      <protection/>
    </xf>
    <xf numFmtId="4" fontId="18" fillId="56" borderId="43" xfId="89" applyNumberFormat="1" applyFont="1" applyFill="1" applyBorder="1" applyAlignment="1">
      <alignment horizontal="center" vertical="center"/>
      <protection/>
    </xf>
    <xf numFmtId="0" fontId="18" fillId="0" borderId="23" xfId="89" applyFont="1" applyFill="1" applyBorder="1" applyAlignment="1" applyProtection="1">
      <alignment horizontal="left" vertical="center" wrapText="1"/>
      <protection/>
    </xf>
    <xf numFmtId="0" fontId="18" fillId="0" borderId="62" xfId="0" applyFont="1" applyFill="1" applyBorder="1" applyAlignment="1">
      <alignment horizontal="left" vertical="center" wrapText="1"/>
    </xf>
    <xf numFmtId="166" fontId="22" fillId="0" borderId="47" xfId="0" applyNumberFormat="1" applyFont="1" applyFill="1" applyBorder="1" applyAlignment="1">
      <alignment horizontal="center" vertical="center" wrapText="1"/>
    </xf>
    <xf numFmtId="166" fontId="18" fillId="0" borderId="63" xfId="88" applyNumberFormat="1" applyFont="1" applyFill="1" applyBorder="1" applyAlignment="1">
      <alignment horizontal="center" vertical="center"/>
      <protection/>
    </xf>
    <xf numFmtId="172" fontId="22" fillId="0" borderId="49" xfId="88" applyNumberFormat="1" applyFont="1" applyFill="1" applyBorder="1" applyAlignment="1">
      <alignment horizontal="center" vertical="center"/>
      <protection/>
    </xf>
    <xf numFmtId="166" fontId="18" fillId="0" borderId="50" xfId="88" applyNumberFormat="1" applyFont="1" applyFill="1" applyBorder="1" applyAlignment="1">
      <alignment horizontal="center" vertical="center"/>
      <protection/>
    </xf>
    <xf numFmtId="166" fontId="22" fillId="0" borderId="49" xfId="0" applyNumberFormat="1" applyFont="1" applyFill="1" applyBorder="1" applyAlignment="1">
      <alignment horizontal="center" vertical="center"/>
    </xf>
    <xf numFmtId="166" fontId="18" fillId="0" borderId="63" xfId="0" applyNumberFormat="1" applyFont="1" applyFill="1" applyBorder="1" applyAlignment="1">
      <alignment horizontal="center" vertical="center"/>
    </xf>
    <xf numFmtId="166" fontId="18" fillId="0" borderId="45" xfId="88" applyNumberFormat="1" applyFont="1" applyFill="1" applyBorder="1" applyAlignment="1">
      <alignment horizontal="center" vertical="center" wrapText="1"/>
      <protection/>
    </xf>
    <xf numFmtId="166" fontId="30" fillId="0" borderId="50" xfId="88" applyNumberFormat="1" applyFont="1" applyFill="1" applyBorder="1" applyAlignment="1">
      <alignment horizontal="left" vertical="center" wrapText="1"/>
      <protection/>
    </xf>
    <xf numFmtId="166" fontId="18" fillId="0" borderId="54" xfId="89" applyNumberFormat="1" applyFont="1" applyFill="1" applyBorder="1" applyAlignment="1">
      <alignment horizontal="center" vertical="center"/>
      <protection/>
    </xf>
    <xf numFmtId="166" fontId="22" fillId="0" borderId="30" xfId="89" applyNumberFormat="1" applyFont="1" applyFill="1" applyBorder="1" applyAlignment="1">
      <alignment horizontal="center" vertical="center"/>
      <protection/>
    </xf>
    <xf numFmtId="166" fontId="22" fillId="0" borderId="45" xfId="88" applyNumberFormat="1" applyFont="1" applyFill="1" applyBorder="1" applyAlignment="1">
      <alignment horizontal="left" vertical="center" wrapText="1"/>
      <protection/>
    </xf>
    <xf numFmtId="166" fontId="18" fillId="0" borderId="63" xfId="89" applyNumberFormat="1" applyFont="1" applyFill="1" applyBorder="1" applyAlignment="1">
      <alignment horizontal="center" vertical="center"/>
      <protection/>
    </xf>
    <xf numFmtId="166" fontId="18" fillId="0" borderId="63" xfId="0" applyNumberFormat="1" applyFont="1" applyFill="1" applyBorder="1" applyAlignment="1" applyProtection="1">
      <alignment horizontal="center" vertical="center"/>
      <protection/>
    </xf>
    <xf numFmtId="0" fontId="22" fillId="0" borderId="49" xfId="88" applyNumberFormat="1" applyFont="1" applyFill="1" applyBorder="1" applyAlignment="1">
      <alignment horizontal="center" vertical="center"/>
      <protection/>
    </xf>
    <xf numFmtId="0" fontId="18" fillId="0" borderId="50" xfId="89" applyNumberFormat="1" applyFont="1" applyFill="1" applyBorder="1" applyAlignment="1">
      <alignment horizontal="center" vertical="center"/>
      <protection/>
    </xf>
    <xf numFmtId="0" fontId="18" fillId="0" borderId="63" xfId="88" applyNumberFormat="1" applyFont="1" applyFill="1" applyBorder="1" applyAlignment="1">
      <alignment horizontal="center" vertical="center"/>
      <protection/>
    </xf>
    <xf numFmtId="166" fontId="22" fillId="0" borderId="50" xfId="88" applyNumberFormat="1" applyFont="1" applyFill="1" applyBorder="1" applyAlignment="1">
      <alignment horizontal="center" vertical="center"/>
      <protection/>
    </xf>
    <xf numFmtId="166" fontId="18" fillId="0" borderId="50" xfId="89" applyNumberFormat="1" applyFont="1" applyFill="1" applyBorder="1" applyAlignment="1">
      <alignment horizontal="center" vertical="center"/>
      <protection/>
    </xf>
    <xf numFmtId="166" fontId="22" fillId="0" borderId="49" xfId="0" applyNumberFormat="1" applyFont="1" applyFill="1" applyBorder="1" applyAlignment="1">
      <alignment horizontal="center" vertical="center" wrapText="1"/>
    </xf>
    <xf numFmtId="166" fontId="22" fillId="0" borderId="50" xfId="0" applyNumberFormat="1" applyFont="1" applyFill="1" applyBorder="1" applyAlignment="1">
      <alignment horizontal="center" vertical="center" wrapText="1"/>
    </xf>
    <xf numFmtId="166" fontId="18" fillId="0" borderId="63" xfId="0" applyNumberFormat="1" applyFont="1" applyFill="1" applyBorder="1" applyAlignment="1">
      <alignment horizontal="center" vertical="center" wrapText="1"/>
    </xf>
    <xf numFmtId="166" fontId="18" fillId="0" borderId="50" xfId="0" applyNumberFormat="1" applyFont="1" applyFill="1" applyBorder="1" applyAlignment="1">
      <alignment horizontal="center" vertical="center" wrapText="1"/>
    </xf>
    <xf numFmtId="166" fontId="22" fillId="0" borderId="49" xfId="89" applyNumberFormat="1" applyFont="1" applyFill="1" applyBorder="1" applyAlignment="1">
      <alignment horizontal="center" vertical="center"/>
      <protection/>
    </xf>
    <xf numFmtId="0" fontId="22" fillId="0" borderId="50" xfId="88" applyNumberFormat="1" applyFont="1" applyFill="1" applyBorder="1" applyAlignment="1">
      <alignment horizontal="center" vertical="center"/>
      <protection/>
    </xf>
    <xf numFmtId="0" fontId="18" fillId="0" borderId="63" xfId="89" applyNumberFormat="1" applyFont="1" applyFill="1" applyBorder="1" applyAlignment="1">
      <alignment horizontal="center" vertical="center"/>
      <protection/>
    </xf>
    <xf numFmtId="0" fontId="53" fillId="0" borderId="50" xfId="0" applyFont="1" applyFill="1" applyBorder="1" applyAlignment="1">
      <alignment vertical="center"/>
    </xf>
    <xf numFmtId="0" fontId="52" fillId="0" borderId="50" xfId="0" applyFont="1" applyFill="1" applyBorder="1" applyAlignment="1">
      <alignment vertical="center"/>
    </xf>
    <xf numFmtId="0" fontId="52" fillId="0" borderId="50" xfId="88" applyFont="1" applyFill="1" applyBorder="1" applyAlignment="1">
      <alignment vertical="center"/>
      <protection/>
    </xf>
    <xf numFmtId="0" fontId="52" fillId="0" borderId="50" xfId="89" applyFont="1" applyFill="1" applyBorder="1" applyAlignment="1">
      <alignment horizontal="left" vertical="center"/>
      <protection/>
    </xf>
    <xf numFmtId="0" fontId="52" fillId="0" borderId="50" xfId="89" applyFont="1" applyFill="1" applyBorder="1" applyAlignment="1" applyProtection="1">
      <alignment horizontal="left" vertical="center"/>
      <protection locked="0"/>
    </xf>
    <xf numFmtId="0" fontId="18" fillId="0" borderId="50" xfId="89" applyFont="1" applyFill="1" applyBorder="1" applyAlignment="1">
      <alignment horizontal="left" vertical="center"/>
      <protection/>
    </xf>
    <xf numFmtId="166" fontId="18" fillId="0" borderId="50" xfId="89" applyNumberFormat="1" applyFont="1" applyFill="1" applyBorder="1" applyAlignment="1">
      <alignment horizontal="left" vertical="center"/>
      <protection/>
    </xf>
    <xf numFmtId="0" fontId="20" fillId="0" borderId="50" xfId="89" applyFont="1" applyFill="1" applyBorder="1" applyAlignment="1">
      <alignment horizontal="left" vertical="center"/>
      <protection/>
    </xf>
    <xf numFmtId="0" fontId="18" fillId="0" borderId="50" xfId="0" applyFont="1" applyFill="1" applyBorder="1" applyAlignment="1">
      <alignment vertical="center"/>
    </xf>
    <xf numFmtId="2" fontId="18" fillId="0" borderId="26" xfId="0" applyNumberFormat="1" applyFont="1" applyBorder="1" applyAlignment="1">
      <alignment horizontal="center" vertical="center"/>
    </xf>
    <xf numFmtId="166" fontId="18" fillId="0" borderId="26" xfId="0" applyNumberFormat="1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165" fontId="22" fillId="0" borderId="48" xfId="89" applyNumberFormat="1" applyFont="1" applyFill="1" applyBorder="1" applyAlignment="1" applyProtection="1">
      <alignment horizontal="center" vertical="center" wrapText="1"/>
      <protection/>
    </xf>
    <xf numFmtId="0" fontId="22" fillId="0" borderId="20" xfId="89" applyFont="1" applyFill="1" applyBorder="1" applyAlignment="1" applyProtection="1">
      <alignment horizontal="left" vertical="center" wrapText="1"/>
      <protection/>
    </xf>
    <xf numFmtId="49" fontId="22" fillId="0" borderId="43" xfId="89" applyNumberFormat="1" applyFont="1" applyFill="1" applyBorder="1" applyAlignment="1" applyProtection="1">
      <alignment horizontal="center" vertical="center" wrapText="1"/>
      <protection/>
    </xf>
    <xf numFmtId="0" fontId="18" fillId="0" borderId="33" xfId="89" applyFont="1" applyFill="1" applyBorder="1" applyAlignment="1" applyProtection="1">
      <alignment horizontal="left" vertical="center" wrapText="1"/>
      <protection/>
    </xf>
    <xf numFmtId="0" fontId="22" fillId="0" borderId="50" xfId="88" applyFont="1" applyFill="1" applyBorder="1" applyAlignment="1">
      <alignment vertical="center"/>
      <protection/>
    </xf>
    <xf numFmtId="0" fontId="22" fillId="0" borderId="43" xfId="89" applyNumberFormat="1" applyFont="1" applyFill="1" applyBorder="1" applyAlignment="1" applyProtection="1">
      <alignment horizontal="center" vertical="center" wrapText="1" readingOrder="1"/>
      <protection/>
    </xf>
    <xf numFmtId="165" fontId="22" fillId="0" borderId="43" xfId="89" applyNumberFormat="1" applyFont="1" applyFill="1" applyBorder="1" applyAlignment="1" applyProtection="1">
      <alignment horizontal="center" vertical="center" wrapText="1" readingOrder="1"/>
      <protection/>
    </xf>
    <xf numFmtId="0" fontId="18" fillId="0" borderId="43" xfId="89" applyFont="1" applyFill="1" applyBorder="1" applyAlignment="1" applyProtection="1">
      <alignment horizontal="center" vertical="center" wrapText="1" readingOrder="1"/>
      <protection/>
    </xf>
    <xf numFmtId="4" fontId="18" fillId="0" borderId="59" xfId="89" applyNumberFormat="1" applyFont="1" applyFill="1" applyBorder="1" applyAlignment="1">
      <alignment horizontal="center" vertical="center"/>
      <protection/>
    </xf>
    <xf numFmtId="0" fontId="22" fillId="0" borderId="43" xfId="89" applyFont="1" applyFill="1" applyBorder="1" applyAlignment="1" applyProtection="1">
      <alignment horizontal="center" vertical="center" wrapText="1"/>
      <protection/>
    </xf>
    <xf numFmtId="0" fontId="18" fillId="0" borderId="43" xfId="88" applyFont="1" applyFill="1" applyBorder="1" applyAlignment="1">
      <alignment horizontal="center" vertical="center" wrapText="1" readingOrder="1"/>
      <protection/>
    </xf>
    <xf numFmtId="0" fontId="22" fillId="0" borderId="43" xfId="88" applyNumberFormat="1" applyFont="1" applyFill="1" applyBorder="1" applyAlignment="1">
      <alignment horizontal="center" vertical="center" wrapText="1" readingOrder="1"/>
      <protection/>
    </xf>
    <xf numFmtId="164" fontId="22" fillId="0" borderId="43" xfId="88" applyNumberFormat="1" applyFont="1" applyFill="1" applyBorder="1" applyAlignment="1" quotePrefix="1">
      <alignment horizontal="center" vertical="center" wrapText="1" readingOrder="1"/>
      <protection/>
    </xf>
    <xf numFmtId="0" fontId="30" fillId="0" borderId="43" xfId="88" applyFont="1" applyFill="1" applyBorder="1" applyAlignment="1">
      <alignment vertical="center" wrapText="1" readingOrder="1"/>
      <protection/>
    </xf>
    <xf numFmtId="4" fontId="18" fillId="0" borderId="22" xfId="89" applyNumberFormat="1" applyFont="1" applyFill="1" applyBorder="1" applyAlignment="1">
      <alignment horizontal="center" vertical="center"/>
      <protection/>
    </xf>
    <xf numFmtId="0" fontId="22" fillId="0" borderId="62" xfId="89" applyFont="1" applyFill="1" applyBorder="1" applyAlignment="1" applyProtection="1">
      <alignment horizontal="left" vertical="center" wrapText="1"/>
      <protection/>
    </xf>
    <xf numFmtId="1" fontId="22" fillId="0" borderId="43" xfId="89" applyNumberFormat="1" applyFont="1" applyFill="1" applyBorder="1" applyAlignment="1" applyProtection="1">
      <alignment horizontal="center" vertical="center" wrapText="1"/>
      <protection/>
    </xf>
    <xf numFmtId="0" fontId="18" fillId="0" borderId="63" xfId="89" applyFont="1" applyFill="1" applyBorder="1" applyAlignment="1" applyProtection="1">
      <alignment horizontal="left" vertical="center" wrapText="1"/>
      <protection/>
    </xf>
    <xf numFmtId="0" fontId="18" fillId="0" borderId="23" xfId="88" applyFont="1" applyFill="1" applyBorder="1" applyAlignment="1">
      <alignment horizontal="center" vertical="center" wrapText="1" readingOrder="1"/>
      <protection/>
    </xf>
    <xf numFmtId="4" fontId="18" fillId="0" borderId="64" xfId="89" applyNumberFormat="1" applyFont="1" applyFill="1" applyBorder="1" applyAlignment="1">
      <alignment horizontal="center" vertical="center"/>
      <protection/>
    </xf>
    <xf numFmtId="1" fontId="22" fillId="0" borderId="19" xfId="89" applyNumberFormat="1" applyFont="1" applyFill="1" applyBorder="1" applyAlignment="1" applyProtection="1">
      <alignment horizontal="center" vertical="center" wrapText="1"/>
      <protection/>
    </xf>
    <xf numFmtId="1" fontId="22" fillId="0" borderId="20" xfId="88" applyNumberFormat="1" applyFont="1" applyFill="1" applyBorder="1" applyAlignment="1">
      <alignment horizontal="center" vertical="center" wrapText="1"/>
      <protection/>
    </xf>
    <xf numFmtId="0" fontId="22" fillId="0" borderId="20" xfId="89" applyNumberFormat="1" applyFont="1" applyFill="1" applyBorder="1" applyAlignment="1">
      <alignment horizontal="center" vertical="center"/>
      <protection/>
    </xf>
    <xf numFmtId="165" fontId="18" fillId="0" borderId="61" xfId="89" applyNumberFormat="1" applyFont="1" applyFill="1" applyBorder="1" applyAlignment="1" applyProtection="1">
      <alignment horizontal="left" vertical="center" wrapText="1"/>
      <protection/>
    </xf>
    <xf numFmtId="0" fontId="18" fillId="0" borderId="61" xfId="89" applyFont="1" applyFill="1" applyBorder="1" applyAlignment="1" applyProtection="1">
      <alignment horizontal="center" vertical="center" wrapText="1"/>
      <protection/>
    </xf>
    <xf numFmtId="1" fontId="18" fillId="0" borderId="61" xfId="89" applyNumberFormat="1" applyFont="1" applyFill="1" applyBorder="1" applyAlignment="1">
      <alignment horizontal="center" vertical="center"/>
      <protection/>
    </xf>
    <xf numFmtId="166" fontId="18" fillId="0" borderId="65" xfId="89" applyNumberFormat="1" applyFont="1" applyFill="1" applyBorder="1" applyAlignment="1">
      <alignment horizontal="center" vertical="center"/>
      <protection/>
    </xf>
    <xf numFmtId="165" fontId="30" fillId="0" borderId="61" xfId="89" applyNumberFormat="1" applyFont="1" applyFill="1" applyBorder="1" applyAlignment="1" applyProtection="1">
      <alignment horizontal="left" vertical="center" wrapText="1"/>
      <protection/>
    </xf>
    <xf numFmtId="1" fontId="22" fillId="0" borderId="20" xfId="0" applyNumberFormat="1" applyFont="1" applyFill="1" applyBorder="1" applyAlignment="1">
      <alignment horizontal="center" vertical="center" wrapText="1"/>
    </xf>
    <xf numFmtId="1" fontId="18" fillId="0" borderId="21" xfId="89" applyNumberFormat="1" applyFont="1" applyFill="1" applyBorder="1" applyAlignment="1" applyProtection="1">
      <alignment horizontal="center" vertical="center" wrapText="1"/>
      <protection/>
    </xf>
    <xf numFmtId="165" fontId="18" fillId="0" borderId="21" xfId="89" applyNumberFormat="1" applyFont="1" applyFill="1" applyBorder="1" applyAlignment="1" applyProtection="1">
      <alignment horizontal="center" vertical="center" wrapText="1"/>
      <protection/>
    </xf>
    <xf numFmtId="0" fontId="18" fillId="0" borderId="21" xfId="89" applyFont="1" applyFill="1" applyBorder="1" applyAlignment="1" applyProtection="1">
      <alignment horizontal="center" vertical="center" wrapText="1"/>
      <protection/>
    </xf>
    <xf numFmtId="1" fontId="18" fillId="0" borderId="21" xfId="89" applyNumberFormat="1" applyFont="1" applyFill="1" applyBorder="1" applyAlignment="1">
      <alignment horizontal="center" vertical="center"/>
      <protection/>
    </xf>
    <xf numFmtId="166" fontId="18" fillId="0" borderId="31" xfId="89" applyNumberFormat="1" applyFont="1" applyFill="1" applyBorder="1" applyAlignment="1">
      <alignment horizontal="center" vertical="center"/>
      <protection/>
    </xf>
    <xf numFmtId="0" fontId="22" fillId="0" borderId="22" xfId="89" applyFont="1" applyFill="1" applyBorder="1" applyAlignment="1" applyProtection="1" quotePrefix="1">
      <alignment horizontal="left" vertical="top" wrapText="1"/>
      <protection/>
    </xf>
    <xf numFmtId="0" fontId="18" fillId="0" borderId="43" xfId="89" applyFont="1" applyFill="1" applyBorder="1" applyAlignment="1" applyProtection="1" quotePrefix="1">
      <alignment horizontal="left" vertical="top" wrapText="1"/>
      <protection/>
    </xf>
    <xf numFmtId="0" fontId="22" fillId="0" borderId="23" xfId="89" applyFont="1" applyFill="1" applyBorder="1" applyAlignment="1" applyProtection="1">
      <alignment horizontal="center" vertical="center" wrapText="1"/>
      <protection/>
    </xf>
    <xf numFmtId="0" fontId="22" fillId="0" borderId="23" xfId="89" applyFont="1" applyFill="1" applyBorder="1" applyAlignment="1" applyProtection="1">
      <alignment vertical="top" wrapText="1"/>
      <protection/>
    </xf>
    <xf numFmtId="165" fontId="18" fillId="0" borderId="43" xfId="89" applyNumberFormat="1" applyFont="1" applyFill="1" applyBorder="1" applyAlignment="1" applyProtection="1">
      <alignment horizontal="center" vertical="center" wrapText="1"/>
      <protection/>
    </xf>
    <xf numFmtId="165" fontId="30" fillId="0" borderId="43" xfId="89" applyNumberFormat="1" applyFont="1" applyFill="1" applyBorder="1" applyAlignment="1" applyProtection="1">
      <alignment horizontal="left" vertical="center" wrapText="1"/>
      <protection/>
    </xf>
    <xf numFmtId="0" fontId="18" fillId="0" borderId="66" xfId="89" applyFont="1" applyFill="1" applyBorder="1" applyAlignment="1" applyProtection="1">
      <alignment horizontal="center" vertical="center" wrapText="1"/>
      <protection/>
    </xf>
    <xf numFmtId="2" fontId="22" fillId="0" borderId="22" xfId="89" applyNumberFormat="1" applyFont="1" applyFill="1" applyBorder="1" applyAlignment="1">
      <alignment horizontal="center" vertical="center"/>
      <protection/>
    </xf>
    <xf numFmtId="0" fontId="18" fillId="0" borderId="43" xfId="89" applyFont="1" applyFill="1" applyBorder="1" applyAlignment="1" applyProtection="1">
      <alignment horizontal="left" vertical="top" wrapText="1"/>
      <protection/>
    </xf>
    <xf numFmtId="2" fontId="18" fillId="0" borderId="43" xfId="89" applyNumberFormat="1" applyFont="1" applyFill="1" applyBorder="1" applyAlignment="1">
      <alignment horizontal="center" vertical="center"/>
      <protection/>
    </xf>
    <xf numFmtId="0" fontId="18" fillId="0" borderId="66" xfId="89" applyNumberFormat="1" applyFont="1" applyFill="1" applyBorder="1" applyAlignment="1" applyProtection="1">
      <alignment horizontal="center" vertical="center" wrapText="1"/>
      <protection/>
    </xf>
    <xf numFmtId="0" fontId="18" fillId="0" borderId="66" xfId="0" applyNumberFormat="1" applyFont="1" applyFill="1" applyBorder="1" applyAlignment="1" applyProtection="1">
      <alignment vertical="center"/>
      <protection/>
    </xf>
    <xf numFmtId="0" fontId="30" fillId="0" borderId="66" xfId="89" applyFont="1" applyFill="1" applyBorder="1" applyAlignment="1" applyProtection="1">
      <alignment horizontal="left" vertical="center" wrapText="1"/>
      <protection/>
    </xf>
    <xf numFmtId="0" fontId="18" fillId="0" borderId="66" xfId="0" applyNumberFormat="1" applyFont="1" applyFill="1" applyBorder="1" applyAlignment="1" applyProtection="1">
      <alignment horizontal="center" vertical="center"/>
      <protection/>
    </xf>
    <xf numFmtId="166" fontId="18" fillId="0" borderId="67" xfId="0" applyNumberFormat="1" applyFont="1" applyFill="1" applyBorder="1" applyAlignment="1" applyProtection="1">
      <alignment horizontal="center" vertical="center"/>
      <protection/>
    </xf>
    <xf numFmtId="0" fontId="5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wrapText="1"/>
    </xf>
    <xf numFmtId="2" fontId="22" fillId="0" borderId="30" xfId="88" applyNumberFormat="1" applyFont="1" applyFill="1" applyBorder="1" applyAlignment="1">
      <alignment horizontal="center" vertical="center"/>
      <protection/>
    </xf>
    <xf numFmtId="166" fontId="18" fillId="0" borderId="29" xfId="0" applyNumberFormat="1" applyFont="1" applyBorder="1" applyAlignment="1">
      <alignment horizontal="center" vertical="center"/>
    </xf>
    <xf numFmtId="2" fontId="18" fillId="0" borderId="33" xfId="0" applyNumberFormat="1" applyFont="1" applyBorder="1" applyAlignment="1">
      <alignment horizontal="center" vertical="center"/>
    </xf>
    <xf numFmtId="166" fontId="18" fillId="0" borderId="33" xfId="0" applyNumberFormat="1" applyFont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 wrapText="1"/>
    </xf>
    <xf numFmtId="165" fontId="20" fillId="0" borderId="43" xfId="89" applyNumberFormat="1" applyFont="1" applyFill="1" applyBorder="1" applyAlignment="1" applyProtection="1" quotePrefix="1">
      <alignment horizontal="center" vertical="center" wrapText="1"/>
      <protection/>
    </xf>
    <xf numFmtId="0" fontId="21" fillId="0" borderId="43" xfId="89" applyFont="1" applyFill="1" applyBorder="1" applyAlignment="1" applyProtection="1">
      <alignment horizontal="left" vertical="center" wrapText="1"/>
      <protection/>
    </xf>
    <xf numFmtId="0" fontId="20" fillId="0" borderId="50" xfId="89" applyFont="1" applyFill="1" applyBorder="1" applyAlignment="1" applyProtection="1">
      <alignment horizontal="center" vertical="center" wrapText="1"/>
      <protection/>
    </xf>
    <xf numFmtId="4" fontId="20" fillId="0" borderId="43" xfId="0" applyNumberFormat="1" applyFont="1" applyFill="1" applyBorder="1" applyAlignment="1">
      <alignment horizontal="center" vertical="center" wrapText="1"/>
    </xf>
    <xf numFmtId="4" fontId="20" fillId="55" borderId="0" xfId="0" applyNumberFormat="1" applyFont="1" applyFill="1" applyBorder="1" applyAlignment="1">
      <alignment horizontal="center" vertical="center" wrapText="1"/>
    </xf>
    <xf numFmtId="4" fontId="20" fillId="55" borderId="0" xfId="0" applyNumberFormat="1" applyFont="1" applyFill="1" applyBorder="1" applyAlignment="1">
      <alignment horizontal="center" vertical="center"/>
    </xf>
    <xf numFmtId="1" fontId="32" fillId="0" borderId="45" xfId="89" applyNumberFormat="1" applyFont="1" applyFill="1" applyBorder="1" applyAlignment="1" applyProtection="1">
      <alignment horizontal="center" vertical="center" wrapText="1"/>
      <protection/>
    </xf>
    <xf numFmtId="1" fontId="32" fillId="0" borderId="48" xfId="89" applyNumberFormat="1" applyFont="1" applyFill="1" applyBorder="1" applyAlignment="1" applyProtection="1">
      <alignment horizontal="center" vertical="center" wrapText="1"/>
      <protection/>
    </xf>
    <xf numFmtId="0" fontId="22" fillId="0" borderId="45" xfId="0" applyNumberFormat="1" applyFont="1" applyFill="1" applyBorder="1" applyAlignment="1">
      <alignment horizontal="center" vertical="center" wrapText="1"/>
    </xf>
    <xf numFmtId="0" fontId="22" fillId="0" borderId="48" xfId="0" applyNumberFormat="1" applyFont="1" applyFill="1" applyBorder="1" applyAlignment="1">
      <alignment horizontal="center" vertical="center" wrapText="1"/>
    </xf>
    <xf numFmtId="0" fontId="22" fillId="0" borderId="63" xfId="88" applyFont="1" applyFill="1" applyBorder="1" applyAlignment="1">
      <alignment horizontal="left" vertical="center" wrapText="1"/>
      <protection/>
    </xf>
    <xf numFmtId="0" fontId="22" fillId="0" borderId="68" xfId="88" applyFont="1" applyFill="1" applyBorder="1" applyAlignment="1">
      <alignment horizontal="left" vertical="center" wrapText="1"/>
      <protection/>
    </xf>
    <xf numFmtId="0" fontId="22" fillId="0" borderId="45" xfId="88" applyFont="1" applyFill="1" applyBorder="1" applyAlignment="1">
      <alignment horizontal="left" vertical="top" wrapText="1"/>
      <protection/>
    </xf>
    <xf numFmtId="0" fontId="22" fillId="0" borderId="48" xfId="88" applyFont="1" applyFill="1" applyBorder="1" applyAlignment="1">
      <alignment horizontal="left" vertical="top" wrapText="1"/>
      <protection/>
    </xf>
    <xf numFmtId="0" fontId="22" fillId="0" borderId="69" xfId="88" applyFont="1" applyFill="1" applyBorder="1" applyAlignment="1">
      <alignment horizontal="left" vertical="center" wrapText="1"/>
      <protection/>
    </xf>
    <xf numFmtId="0" fontId="22" fillId="0" borderId="70" xfId="88" applyFont="1" applyFill="1" applyBorder="1" applyAlignment="1">
      <alignment horizontal="left" vertical="center" wrapText="1"/>
      <protection/>
    </xf>
    <xf numFmtId="0" fontId="22" fillId="0" borderId="71" xfId="88" applyFont="1" applyFill="1" applyBorder="1" applyAlignment="1">
      <alignment horizontal="left" vertical="center" wrapText="1"/>
      <protection/>
    </xf>
    <xf numFmtId="0" fontId="22" fillId="0" borderId="45" xfId="0" applyFont="1" applyFill="1" applyBorder="1" applyAlignment="1">
      <alignment vertical="center" wrapText="1"/>
    </xf>
    <xf numFmtId="0" fontId="22" fillId="0" borderId="48" xfId="0" applyFont="1" applyFill="1" applyBorder="1" applyAlignment="1">
      <alignment vertical="center" wrapText="1"/>
    </xf>
    <xf numFmtId="0" fontId="22" fillId="0" borderId="54" xfId="88" applyFont="1" applyFill="1" applyBorder="1" applyAlignment="1">
      <alignment horizontal="left" vertical="center" wrapText="1"/>
      <protection/>
    </xf>
    <xf numFmtId="0" fontId="22" fillId="0" borderId="55" xfId="88" applyFont="1" applyFill="1" applyBorder="1" applyAlignment="1">
      <alignment horizontal="left" vertical="center" wrapText="1"/>
      <protection/>
    </xf>
    <xf numFmtId="0" fontId="22" fillId="0" borderId="30" xfId="88" applyFont="1" applyFill="1" applyBorder="1" applyAlignment="1">
      <alignment horizontal="left" vertical="center" wrapText="1"/>
      <protection/>
    </xf>
    <xf numFmtId="0" fontId="22" fillId="0" borderId="0" xfId="88" applyFont="1" applyFill="1" applyBorder="1" applyAlignment="1">
      <alignment horizontal="left" vertical="center" wrapText="1"/>
      <protection/>
    </xf>
    <xf numFmtId="0" fontId="22" fillId="0" borderId="44" xfId="0" applyFont="1" applyFill="1" applyBorder="1" applyAlignment="1">
      <alignment horizontal="left" vertical="center" wrapText="1"/>
    </xf>
    <xf numFmtId="0" fontId="22" fillId="0" borderId="72" xfId="0" applyFont="1" applyFill="1" applyBorder="1" applyAlignment="1">
      <alignment horizontal="left" vertical="center" wrapText="1"/>
    </xf>
    <xf numFmtId="0" fontId="22" fillId="0" borderId="53" xfId="0" applyFont="1" applyFill="1" applyBorder="1" applyAlignment="1">
      <alignment horizontal="left" vertical="center" wrapText="1"/>
    </xf>
    <xf numFmtId="0" fontId="22" fillId="0" borderId="73" xfId="0" applyFont="1" applyFill="1" applyBorder="1" applyAlignment="1">
      <alignment horizontal="left" vertical="center" wrapText="1"/>
    </xf>
    <xf numFmtId="0" fontId="22" fillId="0" borderId="70" xfId="0" applyFont="1" applyFill="1" applyBorder="1" applyAlignment="1">
      <alignment horizontal="left" vertical="center" wrapText="1"/>
    </xf>
    <xf numFmtId="0" fontId="22" fillId="0" borderId="74" xfId="0" applyFont="1" applyFill="1" applyBorder="1" applyAlignment="1">
      <alignment horizontal="left" vertical="center" wrapText="1"/>
    </xf>
    <xf numFmtId="0" fontId="22" fillId="0" borderId="45" xfId="89" applyFont="1" applyFill="1" applyBorder="1" applyAlignment="1" applyProtection="1">
      <alignment horizontal="center" vertical="center" wrapText="1"/>
      <protection/>
    </xf>
    <xf numFmtId="0" fontId="22" fillId="0" borderId="48" xfId="89" applyFont="1" applyFill="1" applyBorder="1" applyAlignment="1" applyProtection="1">
      <alignment horizontal="center" vertical="center" wrapText="1"/>
      <protection/>
    </xf>
    <xf numFmtId="0" fontId="22" fillId="0" borderId="45" xfId="88" applyNumberFormat="1" applyFont="1" applyFill="1" applyBorder="1" applyAlignment="1">
      <alignment horizontal="left" vertical="center" wrapText="1"/>
      <protection/>
    </xf>
    <xf numFmtId="0" fontId="22" fillId="0" borderId="48" xfId="88" applyNumberFormat="1" applyFont="1" applyFill="1" applyBorder="1" applyAlignment="1">
      <alignment horizontal="left" vertical="center" wrapText="1"/>
      <protection/>
    </xf>
    <xf numFmtId="166" fontId="22" fillId="0" borderId="45" xfId="88" applyNumberFormat="1" applyFont="1" applyFill="1" applyBorder="1" applyAlignment="1">
      <alignment horizontal="center" vertical="top" wrapText="1"/>
      <protection/>
    </xf>
    <xf numFmtId="0" fontId="22" fillId="0" borderId="20" xfId="0" applyFont="1" applyFill="1" applyBorder="1" applyAlignment="1">
      <alignment horizontal="center" vertical="top" wrapText="1"/>
    </xf>
    <xf numFmtId="0" fontId="22" fillId="0" borderId="33" xfId="0" applyFont="1" applyFill="1" applyBorder="1" applyAlignment="1">
      <alignment horizontal="center" vertical="top" wrapText="1"/>
    </xf>
    <xf numFmtId="0" fontId="22" fillId="0" borderId="21" xfId="0" applyFont="1" applyFill="1" applyBorder="1" applyAlignment="1">
      <alignment horizontal="center" vertical="top" wrapText="1"/>
    </xf>
    <xf numFmtId="164" fontId="22" fillId="0" borderId="30" xfId="88" applyNumberFormat="1" applyFont="1" applyFill="1" applyBorder="1" applyAlignment="1">
      <alignment horizontal="left" vertical="center" wrapText="1"/>
      <protection/>
    </xf>
    <xf numFmtId="164" fontId="22" fillId="0" borderId="0" xfId="88" applyNumberFormat="1" applyFont="1" applyFill="1" applyBorder="1" applyAlignment="1">
      <alignment horizontal="left" vertical="center" wrapText="1"/>
      <protection/>
    </xf>
    <xf numFmtId="0" fontId="22" fillId="0" borderId="19" xfId="88" applyFont="1" applyFill="1" applyBorder="1" applyAlignment="1">
      <alignment horizontal="left" vertical="center" wrapText="1"/>
      <protection/>
    </xf>
    <xf numFmtId="0" fontId="22" fillId="0" borderId="49" xfId="88" applyFont="1" applyFill="1" applyBorder="1" applyAlignment="1">
      <alignment horizontal="left" vertical="center" wrapText="1"/>
      <protection/>
    </xf>
    <xf numFmtId="0" fontId="22" fillId="0" borderId="34" xfId="88" applyFont="1" applyFill="1" applyBorder="1" applyAlignment="1">
      <alignment horizontal="left" vertical="center" wrapText="1"/>
      <protection/>
    </xf>
    <xf numFmtId="0" fontId="31" fillId="0" borderId="54" xfId="89" applyFont="1" applyFill="1" applyBorder="1" applyAlignment="1" applyProtection="1">
      <alignment horizontal="center" vertical="center" wrapText="1"/>
      <protection/>
    </xf>
    <xf numFmtId="0" fontId="31" fillId="0" borderId="55" xfId="89" applyFont="1" applyFill="1" applyBorder="1" applyAlignment="1" applyProtection="1">
      <alignment horizontal="center" vertical="center" wrapText="1"/>
      <protection/>
    </xf>
    <xf numFmtId="0" fontId="32" fillId="0" borderId="44" xfId="0" applyFont="1" applyFill="1" applyBorder="1" applyAlignment="1">
      <alignment horizontal="center" vertical="center" wrapText="1"/>
    </xf>
    <xf numFmtId="0" fontId="32" fillId="0" borderId="72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22" fillId="0" borderId="34" xfId="88" applyNumberFormat="1" applyFont="1" applyFill="1" applyBorder="1" applyAlignment="1">
      <alignment horizontal="left" vertical="center" wrapText="1"/>
      <protection/>
    </xf>
    <xf numFmtId="0" fontId="22" fillId="0" borderId="50" xfId="88" applyNumberFormat="1" applyFont="1" applyFill="1" applyBorder="1" applyAlignment="1">
      <alignment horizontal="left" vertical="center" wrapText="1"/>
      <protection/>
    </xf>
    <xf numFmtId="0" fontId="22" fillId="0" borderId="0" xfId="88" applyNumberFormat="1" applyFont="1" applyFill="1" applyBorder="1" applyAlignment="1">
      <alignment horizontal="left" vertical="center" wrapText="1"/>
      <protection/>
    </xf>
    <xf numFmtId="0" fontId="2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22" fillId="0" borderId="45" xfId="88" applyFont="1" applyFill="1" applyBorder="1" applyAlignment="1">
      <alignment horizontal="left" vertical="center" wrapText="1"/>
      <protection/>
    </xf>
    <xf numFmtId="0" fontId="22" fillId="0" borderId="48" xfId="88" applyFont="1" applyFill="1" applyBorder="1" applyAlignment="1">
      <alignment horizontal="left" vertical="center" wrapText="1"/>
      <protection/>
    </xf>
    <xf numFmtId="2" fontId="18" fillId="0" borderId="26" xfId="0" applyNumberFormat="1" applyFont="1" applyBorder="1" applyAlignment="1">
      <alignment horizontal="center" vertical="center"/>
    </xf>
    <xf numFmtId="166" fontId="18" fillId="0" borderId="26" xfId="0" applyNumberFormat="1" applyFont="1" applyBorder="1" applyAlignment="1">
      <alignment horizontal="center" vertical="center"/>
    </xf>
    <xf numFmtId="4" fontId="18" fillId="0" borderId="26" xfId="0" applyNumberFormat="1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49" fontId="22" fillId="0" borderId="19" xfId="0" applyNumberFormat="1" applyFont="1" applyBorder="1" applyAlignment="1">
      <alignment horizontal="center" vertical="center" textRotation="90"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textRotation="90"/>
    </xf>
    <xf numFmtId="4" fontId="18" fillId="0" borderId="24" xfId="0" applyNumberFormat="1" applyFont="1" applyBorder="1" applyAlignment="1">
      <alignment horizontal="center" vertical="center"/>
    </xf>
    <xf numFmtId="2" fontId="18" fillId="0" borderId="24" xfId="0" applyNumberFormat="1" applyFont="1" applyBorder="1" applyAlignment="1">
      <alignment horizontal="center" vertical="center"/>
    </xf>
    <xf numFmtId="169" fontId="18" fillId="0" borderId="24" xfId="0" applyNumberFormat="1" applyFont="1" applyBorder="1" applyAlignment="1">
      <alignment horizontal="center" vertical="center"/>
    </xf>
    <xf numFmtId="169" fontId="18" fillId="0" borderId="26" xfId="0" applyNumberFormat="1" applyFont="1" applyBorder="1" applyAlignment="1">
      <alignment horizontal="center" vertical="center"/>
    </xf>
    <xf numFmtId="4" fontId="18" fillId="0" borderId="75" xfId="0" applyNumberFormat="1" applyFont="1" applyBorder="1" applyAlignment="1">
      <alignment horizontal="center" vertical="center"/>
    </xf>
    <xf numFmtId="4" fontId="18" fillId="0" borderId="29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26" fillId="0" borderId="21" xfId="0" applyNumberFormat="1" applyFont="1" applyFill="1" applyBorder="1" applyAlignment="1">
      <alignment horizontal="center"/>
    </xf>
    <xf numFmtId="0" fontId="22" fillId="0" borderId="32" xfId="0" applyNumberFormat="1" applyFont="1" applyFill="1" applyBorder="1" applyAlignment="1">
      <alignment horizontal="right"/>
    </xf>
    <xf numFmtId="0" fontId="22" fillId="0" borderId="28" xfId="0" applyNumberFormat="1" applyFont="1" applyFill="1" applyBorder="1" applyAlignment="1">
      <alignment horizontal="right"/>
    </xf>
    <xf numFmtId="0" fontId="22" fillId="0" borderId="44" xfId="0" applyFont="1" applyBorder="1" applyAlignment="1">
      <alignment horizontal="center"/>
    </xf>
    <xf numFmtId="0" fontId="22" fillId="0" borderId="72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76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wrapText="1"/>
    </xf>
    <xf numFmtId="0" fontId="22" fillId="0" borderId="68" xfId="0" applyFont="1" applyBorder="1" applyAlignment="1">
      <alignment horizontal="center" wrapText="1"/>
    </xf>
    <xf numFmtId="166" fontId="18" fillId="0" borderId="45" xfId="0" applyNumberFormat="1" applyFont="1" applyBorder="1" applyAlignment="1">
      <alignment horizontal="center" vertical="center"/>
    </xf>
    <xf numFmtId="166" fontId="18" fillId="0" borderId="48" xfId="0" applyNumberFormat="1" applyFont="1" applyBorder="1" applyAlignment="1">
      <alignment horizontal="center" vertical="center"/>
    </xf>
    <xf numFmtId="166" fontId="18" fillId="0" borderId="60" xfId="0" applyNumberFormat="1" applyFont="1" applyBorder="1" applyAlignment="1">
      <alignment horizontal="center" vertical="center"/>
    </xf>
    <xf numFmtId="166" fontId="18" fillId="0" borderId="34" xfId="0" applyNumberFormat="1" applyFont="1" applyBorder="1" applyAlignment="1">
      <alignment horizontal="center" vertical="center"/>
    </xf>
    <xf numFmtId="166" fontId="26" fillId="0" borderId="0" xfId="0" applyNumberFormat="1" applyFont="1" applyBorder="1" applyAlignment="1">
      <alignment horizontal="center" vertical="center"/>
    </xf>
    <xf numFmtId="166" fontId="26" fillId="0" borderId="0" xfId="0" applyNumberFormat="1" applyFont="1" applyBorder="1" applyAlignment="1">
      <alignment horizontal="center"/>
    </xf>
    <xf numFmtId="166" fontId="18" fillId="0" borderId="0" xfId="0" applyNumberFormat="1" applyFont="1" applyBorder="1" applyAlignment="1">
      <alignment horizontal="center" vertical="center" wrapText="1"/>
    </xf>
    <xf numFmtId="166" fontId="18" fillId="0" borderId="22" xfId="0" applyNumberFormat="1" applyFont="1" applyBorder="1" applyAlignment="1">
      <alignment horizontal="center" vertical="center" wrapText="1"/>
    </xf>
    <xf numFmtId="166" fontId="18" fillId="0" borderId="23" xfId="0" applyNumberFormat="1" applyFont="1" applyBorder="1" applyAlignment="1">
      <alignment horizontal="center" vertical="center" wrapText="1"/>
    </xf>
    <xf numFmtId="166" fontId="26" fillId="0" borderId="0" xfId="0" applyNumberFormat="1" applyFont="1" applyFill="1" applyBorder="1" applyAlignment="1">
      <alignment horizontal="center" wrapText="1"/>
    </xf>
  </cellXfs>
  <cellStyles count="9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e 2" xfId="84"/>
    <cellStyle name="Normalny 4" xfId="85"/>
    <cellStyle name="Normalny 7" xfId="86"/>
    <cellStyle name="Normalny 8" xfId="87"/>
    <cellStyle name="Normalny_Tabela zbiorcza cz.1 (0030-0035)" xfId="88"/>
    <cellStyle name="Normalny_Wzór tabeli" xfId="89"/>
    <cellStyle name="Obliczenia" xfId="90"/>
    <cellStyle name="Obliczenia 2" xfId="91"/>
    <cellStyle name="Percent" xfId="92"/>
    <cellStyle name="Suma" xfId="93"/>
    <cellStyle name="Suma 2" xfId="94"/>
    <cellStyle name="Tekst objaśnienia" xfId="95"/>
    <cellStyle name="Tekst objaśnienia 2" xfId="96"/>
    <cellStyle name="Tekst ostrzeżenia" xfId="97"/>
    <cellStyle name="Tekst ostrzeżenia 2" xfId="98"/>
    <cellStyle name="Tytuł" xfId="99"/>
    <cellStyle name="Tytuł 2" xfId="100"/>
    <cellStyle name="Uwaga" xfId="101"/>
    <cellStyle name="Uwaga 2" xfId="102"/>
    <cellStyle name="Currency" xfId="103"/>
    <cellStyle name="Currency [0]" xfId="104"/>
    <cellStyle name="Złe" xfId="105"/>
    <cellStyle name="Złe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1"/>
  <sheetViews>
    <sheetView showGridLines="0" tabSelected="1"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5.8515625" style="268" customWidth="1"/>
    <col min="2" max="2" width="11.7109375" style="15" customWidth="1"/>
    <col min="3" max="3" width="71.7109375" style="16" customWidth="1"/>
    <col min="4" max="4" width="6.7109375" style="15" customWidth="1"/>
    <col min="5" max="5" width="9.57421875" style="17" customWidth="1"/>
    <col min="6" max="6" width="9.7109375" style="234" customWidth="1"/>
    <col min="7" max="7" width="9.140625" style="374" customWidth="1"/>
    <col min="8" max="16384" width="9.140625" style="10" customWidth="1"/>
  </cols>
  <sheetData>
    <row r="1" spans="1:6" s="8" customFormat="1" ht="27" customHeight="1">
      <c r="A1" s="492" t="s">
        <v>399</v>
      </c>
      <c r="B1" s="492"/>
      <c r="C1" s="492"/>
      <c r="D1" s="492"/>
      <c r="E1" s="492"/>
      <c r="F1" s="492"/>
    </row>
    <row r="2" spans="1:6" s="8" customFormat="1" ht="12.75">
      <c r="A2" s="493" t="s">
        <v>190</v>
      </c>
      <c r="B2" s="493"/>
      <c r="C2" s="493"/>
      <c r="D2" s="493"/>
      <c r="E2" s="493"/>
      <c r="F2" s="493"/>
    </row>
    <row r="3" spans="1:6" s="8" customFormat="1" ht="12.75">
      <c r="A3" s="494"/>
      <c r="B3" s="494"/>
      <c r="C3" s="494"/>
      <c r="D3" s="494"/>
      <c r="E3" s="494"/>
      <c r="F3" s="494"/>
    </row>
    <row r="4" spans="1:7" s="9" customFormat="1" ht="25.5">
      <c r="A4" s="261" t="s">
        <v>0</v>
      </c>
      <c r="B4" s="83" t="s">
        <v>1</v>
      </c>
      <c r="C4" s="112" t="s">
        <v>2</v>
      </c>
      <c r="D4" s="112" t="s">
        <v>3</v>
      </c>
      <c r="E4" s="211" t="s">
        <v>4</v>
      </c>
      <c r="F4" s="348" t="s">
        <v>5</v>
      </c>
      <c r="G4" s="373"/>
    </row>
    <row r="5" spans="1:7" s="9" customFormat="1" ht="28.5">
      <c r="A5" s="261" t="s">
        <v>6</v>
      </c>
      <c r="B5" s="210" t="s">
        <v>367</v>
      </c>
      <c r="C5" s="458" t="s">
        <v>368</v>
      </c>
      <c r="D5" s="459"/>
      <c r="E5" s="459"/>
      <c r="F5" s="459"/>
      <c r="G5" s="373"/>
    </row>
    <row r="6" spans="1:7" s="9" customFormat="1" ht="12.75">
      <c r="A6" s="83"/>
      <c r="B6" s="177" t="s">
        <v>7</v>
      </c>
      <c r="C6" s="495" t="s">
        <v>8</v>
      </c>
      <c r="D6" s="496"/>
      <c r="E6" s="496"/>
      <c r="F6" s="496"/>
      <c r="G6" s="373"/>
    </row>
    <row r="7" spans="1:7" s="9" customFormat="1" ht="25.5">
      <c r="A7" s="2">
        <v>1</v>
      </c>
      <c r="B7" s="3" t="s">
        <v>7</v>
      </c>
      <c r="C7" s="178" t="s">
        <v>9</v>
      </c>
      <c r="D7" s="179" t="s">
        <v>10</v>
      </c>
      <c r="E7" s="180"/>
      <c r="F7" s="436">
        <f>SUM(E8)</f>
        <v>0.86</v>
      </c>
      <c r="G7" s="373"/>
    </row>
    <row r="8" spans="1:6" ht="12.75">
      <c r="A8" s="5"/>
      <c r="B8" s="6"/>
      <c r="C8" s="7" t="s">
        <v>11</v>
      </c>
      <c r="D8" s="5" t="s">
        <v>10</v>
      </c>
      <c r="E8" s="25">
        <f>17.929+-17.064</f>
        <v>0.86</v>
      </c>
      <c r="F8" s="228"/>
    </row>
    <row r="9" spans="1:6" ht="12.75">
      <c r="A9" s="296"/>
      <c r="B9" s="181" t="s">
        <v>138</v>
      </c>
      <c r="C9" s="482" t="s">
        <v>143</v>
      </c>
      <c r="D9" s="482"/>
      <c r="E9" s="482"/>
      <c r="F9" s="482"/>
    </row>
    <row r="10" spans="1:6" ht="25.5">
      <c r="A10" s="295">
        <f>A7+1</f>
        <v>2</v>
      </c>
      <c r="B10" s="182" t="s">
        <v>138</v>
      </c>
      <c r="C10" s="20" t="s">
        <v>139</v>
      </c>
      <c r="D10" s="21" t="s">
        <v>25</v>
      </c>
      <c r="E10" s="18"/>
      <c r="F10" s="231">
        <f>SUM(E11)</f>
        <v>24</v>
      </c>
    </row>
    <row r="11" spans="1:6" ht="38.25">
      <c r="A11" s="170"/>
      <c r="B11" s="183"/>
      <c r="C11" s="24" t="s">
        <v>140</v>
      </c>
      <c r="D11" s="22" t="s">
        <v>25</v>
      </c>
      <c r="E11" s="19">
        <v>24</v>
      </c>
      <c r="F11" s="349"/>
    </row>
    <row r="12" spans="1:6" ht="25.5">
      <c r="A12" s="295">
        <f>A10+1</f>
        <v>3</v>
      </c>
      <c r="B12" s="182" t="s">
        <v>138</v>
      </c>
      <c r="C12" s="20" t="s">
        <v>366</v>
      </c>
      <c r="D12" s="21" t="s">
        <v>25</v>
      </c>
      <c r="E12" s="18"/>
      <c r="F12" s="231">
        <f>SUM(E13)</f>
        <v>26</v>
      </c>
    </row>
    <row r="13" spans="1:6" ht="38.25">
      <c r="A13" s="170"/>
      <c r="B13" s="183"/>
      <c r="C13" s="24" t="s">
        <v>140</v>
      </c>
      <c r="D13" s="22" t="s">
        <v>25</v>
      </c>
      <c r="E13" s="19">
        <v>26</v>
      </c>
      <c r="F13" s="349"/>
    </row>
    <row r="14" spans="1:6" ht="25.5">
      <c r="A14" s="295">
        <f>A12+1</f>
        <v>4</v>
      </c>
      <c r="B14" s="182" t="s">
        <v>138</v>
      </c>
      <c r="C14" s="20" t="s">
        <v>141</v>
      </c>
      <c r="D14" s="21" t="s">
        <v>25</v>
      </c>
      <c r="E14" s="18"/>
      <c r="F14" s="231">
        <f>SUM(E15)</f>
        <v>21</v>
      </c>
    </row>
    <row r="15" spans="1:6" ht="38.25">
      <c r="A15" s="170"/>
      <c r="B15" s="183"/>
      <c r="C15" s="24" t="s">
        <v>140</v>
      </c>
      <c r="D15" s="22" t="s">
        <v>25</v>
      </c>
      <c r="E15" s="19">
        <v>21</v>
      </c>
      <c r="F15" s="349"/>
    </row>
    <row r="16" spans="1:6" ht="25.5">
      <c r="A16" s="295">
        <f>A14+1</f>
        <v>5</v>
      </c>
      <c r="B16" s="182" t="s">
        <v>138</v>
      </c>
      <c r="C16" s="20" t="s">
        <v>142</v>
      </c>
      <c r="D16" s="21" t="s">
        <v>25</v>
      </c>
      <c r="E16" s="18"/>
      <c r="F16" s="231">
        <f>SUM(E17)</f>
        <v>15</v>
      </c>
    </row>
    <row r="17" spans="1:6" ht="38.25">
      <c r="A17" s="170"/>
      <c r="B17" s="183"/>
      <c r="C17" s="24" t="s">
        <v>140</v>
      </c>
      <c r="D17" s="22" t="s">
        <v>25</v>
      </c>
      <c r="E17" s="19">
        <v>15</v>
      </c>
      <c r="F17" s="349"/>
    </row>
    <row r="18" spans="1:6" ht="25.5">
      <c r="A18" s="295">
        <f>A16+1</f>
        <v>6</v>
      </c>
      <c r="B18" s="182" t="s">
        <v>138</v>
      </c>
      <c r="C18" s="20" t="s">
        <v>323</v>
      </c>
      <c r="D18" s="21" t="s">
        <v>25</v>
      </c>
      <c r="E18" s="18"/>
      <c r="F18" s="231">
        <f>SUM(E19)</f>
        <v>7</v>
      </c>
    </row>
    <row r="19" spans="1:6" ht="38.25">
      <c r="A19" s="170"/>
      <c r="B19" s="183"/>
      <c r="C19" s="24" t="s">
        <v>140</v>
      </c>
      <c r="D19" s="22" t="s">
        <v>25</v>
      </c>
      <c r="E19" s="19">
        <v>7</v>
      </c>
      <c r="F19" s="349"/>
    </row>
    <row r="20" spans="1:6" ht="25.5">
      <c r="A20" s="295">
        <f>A18+1</f>
        <v>7</v>
      </c>
      <c r="B20" s="182" t="s">
        <v>138</v>
      </c>
      <c r="C20" s="20" t="s">
        <v>324</v>
      </c>
      <c r="D20" s="21" t="s">
        <v>25</v>
      </c>
      <c r="E20" s="18"/>
      <c r="F20" s="231">
        <f>SUM(E21)</f>
        <v>2</v>
      </c>
    </row>
    <row r="21" spans="1:6" ht="38.25">
      <c r="A21" s="170"/>
      <c r="B21" s="183"/>
      <c r="C21" s="24" t="s">
        <v>140</v>
      </c>
      <c r="D21" s="22" t="s">
        <v>25</v>
      </c>
      <c r="E21" s="19">
        <v>2</v>
      </c>
      <c r="F21" s="349"/>
    </row>
    <row r="22" spans="1:6" ht="12.75">
      <c r="A22" s="83"/>
      <c r="B22" s="1" t="s">
        <v>138</v>
      </c>
      <c r="C22" s="257" t="s">
        <v>325</v>
      </c>
      <c r="D22" s="258"/>
      <c r="E22" s="258"/>
      <c r="F22" s="258"/>
    </row>
    <row r="23" spans="1:6" ht="12.75">
      <c r="A23" s="112">
        <f>A20+1</f>
        <v>8</v>
      </c>
      <c r="B23" s="235" t="s">
        <v>138</v>
      </c>
      <c r="C23" s="236" t="s">
        <v>326</v>
      </c>
      <c r="D23" s="237" t="s">
        <v>327</v>
      </c>
      <c r="E23" s="240">
        <v>0.0062</v>
      </c>
      <c r="F23" s="350">
        <f>SUM(E23)</f>
        <v>0.0062</v>
      </c>
    </row>
    <row r="24" spans="1:6" ht="12.75">
      <c r="A24" s="83"/>
      <c r="B24" s="1" t="s">
        <v>12</v>
      </c>
      <c r="C24" s="460" t="s">
        <v>13</v>
      </c>
      <c r="D24" s="461"/>
      <c r="E24" s="461"/>
      <c r="F24" s="461"/>
    </row>
    <row r="25" spans="1:7" s="11" customFormat="1" ht="15">
      <c r="A25" s="112">
        <f>A23+1</f>
        <v>9</v>
      </c>
      <c r="B25" s="3" t="s">
        <v>12</v>
      </c>
      <c r="C25" s="4" t="s">
        <v>316</v>
      </c>
      <c r="D25" s="2" t="s">
        <v>369</v>
      </c>
      <c r="E25" s="113"/>
      <c r="F25" s="226">
        <f>SUM(E27:E28)</f>
        <v>6100.5</v>
      </c>
      <c r="G25" s="374"/>
    </row>
    <row r="26" spans="1:7" s="11" customFormat="1" ht="12.75">
      <c r="A26" s="114"/>
      <c r="B26" s="115"/>
      <c r="C26" s="116" t="s">
        <v>94</v>
      </c>
      <c r="D26" s="117"/>
      <c r="E26" s="118"/>
      <c r="F26" s="227"/>
      <c r="G26" s="374"/>
    </row>
    <row r="27" spans="1:7" s="11" customFormat="1" ht="15">
      <c r="A27" s="114"/>
      <c r="B27" s="115"/>
      <c r="C27" s="119" t="s">
        <v>97</v>
      </c>
      <c r="D27" s="117" t="s">
        <v>370</v>
      </c>
      <c r="E27" s="118">
        <f>'zdjęcie humusu'!F81-E28</f>
        <v>2082.9</v>
      </c>
      <c r="F27" s="227"/>
      <c r="G27" s="374"/>
    </row>
    <row r="28" spans="1:7" s="11" customFormat="1" ht="15">
      <c r="A28" s="297"/>
      <c r="B28" s="6"/>
      <c r="C28" s="120" t="s">
        <v>98</v>
      </c>
      <c r="D28" s="5" t="s">
        <v>370</v>
      </c>
      <c r="E28" s="121">
        <f>E168</f>
        <v>4017.6</v>
      </c>
      <c r="F28" s="228"/>
      <c r="G28" s="374"/>
    </row>
    <row r="29" spans="1:7" s="11" customFormat="1" ht="12.75">
      <c r="A29" s="298"/>
      <c r="B29" s="1" t="s">
        <v>14</v>
      </c>
      <c r="C29" s="482" t="s">
        <v>15</v>
      </c>
      <c r="D29" s="482"/>
      <c r="E29" s="482"/>
      <c r="F29" s="482"/>
      <c r="G29" s="374"/>
    </row>
    <row r="30" spans="1:7" s="11" customFormat="1" ht="25.5">
      <c r="A30" s="152">
        <f>A25+1</f>
        <v>10</v>
      </c>
      <c r="B30" s="184" t="s">
        <v>14</v>
      </c>
      <c r="C30" s="122" t="s">
        <v>361</v>
      </c>
      <c r="D30" s="123" t="s">
        <v>369</v>
      </c>
      <c r="E30" s="18"/>
      <c r="F30" s="231">
        <f>SUM(E31:E31)</f>
        <v>1605.3</v>
      </c>
      <c r="G30" s="374"/>
    </row>
    <row r="31" spans="1:7" s="11" customFormat="1" ht="38.25">
      <c r="A31" s="125"/>
      <c r="B31" s="157"/>
      <c r="C31" s="124" t="s">
        <v>360</v>
      </c>
      <c r="D31" s="125" t="s">
        <v>370</v>
      </c>
      <c r="E31" s="126">
        <f>rozbiórki!C8</f>
        <v>1605.3</v>
      </c>
      <c r="F31" s="351"/>
      <c r="G31" s="374"/>
    </row>
    <row r="32" spans="1:7" s="11" customFormat="1" ht="25.5">
      <c r="A32" s="295">
        <f>A30+1</f>
        <v>11</v>
      </c>
      <c r="B32" s="182" t="s">
        <v>14</v>
      </c>
      <c r="C32" s="20" t="s">
        <v>259</v>
      </c>
      <c r="D32" s="21" t="s">
        <v>369</v>
      </c>
      <c r="E32" s="18"/>
      <c r="F32" s="231">
        <f>SUM(E34)</f>
        <v>60</v>
      </c>
      <c r="G32" s="374"/>
    </row>
    <row r="33" spans="1:7" s="11" customFormat="1" ht="25.5">
      <c r="A33" s="130"/>
      <c r="B33" s="185"/>
      <c r="C33" s="129" t="s">
        <v>260</v>
      </c>
      <c r="D33" s="130"/>
      <c r="E33" s="126"/>
      <c r="F33" s="351"/>
      <c r="G33" s="374"/>
    </row>
    <row r="34" spans="1:7" s="11" customFormat="1" ht="15">
      <c r="A34" s="22"/>
      <c r="B34" s="183"/>
      <c r="C34" s="24" t="s">
        <v>16</v>
      </c>
      <c r="D34" s="130" t="s">
        <v>370</v>
      </c>
      <c r="E34" s="126">
        <f>'zjazdy Prawa'!F14+'zjazdy Lewa'!F16</f>
        <v>60</v>
      </c>
      <c r="F34" s="349"/>
      <c r="G34" s="374"/>
    </row>
    <row r="35" spans="1:7" s="11" customFormat="1" ht="25.5">
      <c r="A35" s="152">
        <f>A32+1</f>
        <v>12</v>
      </c>
      <c r="B35" s="184" t="s">
        <v>14</v>
      </c>
      <c r="C35" s="122" t="s">
        <v>362</v>
      </c>
      <c r="D35" s="123" t="s">
        <v>369</v>
      </c>
      <c r="E35" s="18"/>
      <c r="F35" s="231">
        <f>SUM(E36)</f>
        <v>168</v>
      </c>
      <c r="G35" s="374"/>
    </row>
    <row r="36" spans="1:7" s="11" customFormat="1" ht="38.25">
      <c r="A36" s="125"/>
      <c r="B36" s="157"/>
      <c r="C36" s="127" t="s">
        <v>137</v>
      </c>
      <c r="D36" s="125" t="s">
        <v>370</v>
      </c>
      <c r="E36" s="126">
        <f>rozbiórki!F8</f>
        <v>168</v>
      </c>
      <c r="F36" s="351"/>
      <c r="G36" s="374"/>
    </row>
    <row r="37" spans="1:7" s="11" customFormat="1" ht="25.5">
      <c r="A37" s="152">
        <f>A35+1</f>
        <v>13</v>
      </c>
      <c r="B37" s="184" t="s">
        <v>14</v>
      </c>
      <c r="C37" s="122" t="s">
        <v>371</v>
      </c>
      <c r="D37" s="123" t="s">
        <v>369</v>
      </c>
      <c r="E37" s="18"/>
      <c r="F37" s="231">
        <f>SUM(E38)</f>
        <v>1437.3</v>
      </c>
      <c r="G37" s="374"/>
    </row>
    <row r="38" spans="1:7" s="11" customFormat="1" ht="38.25">
      <c r="A38" s="125"/>
      <c r="B38" s="157"/>
      <c r="C38" s="127" t="s">
        <v>317</v>
      </c>
      <c r="D38" s="125" t="s">
        <v>370</v>
      </c>
      <c r="E38" s="126">
        <f>rozbiórki!G8</f>
        <v>1437.3</v>
      </c>
      <c r="F38" s="351"/>
      <c r="G38" s="374"/>
    </row>
    <row r="39" spans="1:7" s="11" customFormat="1" ht="38.25">
      <c r="A39" s="152">
        <f>A37+1</f>
        <v>14</v>
      </c>
      <c r="B39" s="184" t="s">
        <v>14</v>
      </c>
      <c r="C39" s="122" t="s">
        <v>298</v>
      </c>
      <c r="D39" s="123" t="s">
        <v>17</v>
      </c>
      <c r="E39" s="18"/>
      <c r="F39" s="231">
        <f>SUM(E40)</f>
        <v>22.5</v>
      </c>
      <c r="G39" s="374"/>
    </row>
    <row r="40" spans="1:7" s="11" customFormat="1" ht="38.25">
      <c r="A40" s="128"/>
      <c r="B40" s="159"/>
      <c r="C40" s="127" t="s">
        <v>298</v>
      </c>
      <c r="D40" s="128" t="s">
        <v>17</v>
      </c>
      <c r="E40" s="19">
        <f>10+'zjazdy Lewa'!J16</f>
        <v>22.5</v>
      </c>
      <c r="F40" s="349"/>
      <c r="G40" s="374"/>
    </row>
    <row r="41" spans="1:7" s="11" customFormat="1" ht="25.5">
      <c r="A41" s="295">
        <f>A39+1</f>
        <v>15</v>
      </c>
      <c r="B41" s="182" t="s">
        <v>14</v>
      </c>
      <c r="C41" s="20" t="s">
        <v>100</v>
      </c>
      <c r="D41" s="21" t="s">
        <v>26</v>
      </c>
      <c r="E41" s="18"/>
      <c r="F41" s="231">
        <f>SUM(E42)</f>
        <v>2</v>
      </c>
      <c r="G41" s="374"/>
    </row>
    <row r="42" spans="1:7" s="11" customFormat="1" ht="25.5">
      <c r="A42" s="299"/>
      <c r="B42" s="185"/>
      <c r="C42" s="129" t="s">
        <v>100</v>
      </c>
      <c r="D42" s="130" t="s">
        <v>26</v>
      </c>
      <c r="E42" s="19">
        <v>2</v>
      </c>
      <c r="F42" s="349"/>
      <c r="G42" s="374"/>
    </row>
    <row r="43" spans="1:7" s="11" customFormat="1" ht="12.75">
      <c r="A43" s="152">
        <f>A41+1</f>
        <v>16</v>
      </c>
      <c r="B43" s="152" t="s">
        <v>14</v>
      </c>
      <c r="C43" s="131" t="s">
        <v>136</v>
      </c>
      <c r="D43" s="123" t="s">
        <v>17</v>
      </c>
      <c r="E43" s="18"/>
      <c r="F43" s="231">
        <f>SUM(E44)</f>
        <v>2771</v>
      </c>
      <c r="G43" s="374"/>
    </row>
    <row r="44" spans="1:7" s="11" customFormat="1" ht="12.75">
      <c r="A44" s="300"/>
      <c r="B44" s="186"/>
      <c r="C44" s="127" t="s">
        <v>188</v>
      </c>
      <c r="D44" s="128" t="s">
        <v>17</v>
      </c>
      <c r="E44" s="19">
        <f>rozbiórki!B8</f>
        <v>2771</v>
      </c>
      <c r="F44" s="349"/>
      <c r="G44" s="374"/>
    </row>
    <row r="45" spans="1:7" s="11" customFormat="1" ht="12.75">
      <c r="A45" s="301">
        <f>A43+1</f>
        <v>17</v>
      </c>
      <c r="B45" s="182" t="s">
        <v>14</v>
      </c>
      <c r="C45" s="302" t="s">
        <v>179</v>
      </c>
      <c r="D45" s="21" t="s">
        <v>25</v>
      </c>
      <c r="E45" s="303"/>
      <c r="F45" s="352">
        <f>E46</f>
        <v>3</v>
      </c>
      <c r="G45" s="374"/>
    </row>
    <row r="46" spans="1:7" s="11" customFormat="1" ht="12.75">
      <c r="A46" s="304"/>
      <c r="B46" s="183"/>
      <c r="C46" s="305"/>
      <c r="D46" s="22" t="s">
        <v>25</v>
      </c>
      <c r="E46" s="306">
        <v>3</v>
      </c>
      <c r="F46" s="353"/>
      <c r="G46" s="374"/>
    </row>
    <row r="47" spans="1:7" s="11" customFormat="1" ht="76.5">
      <c r="A47" s="307"/>
      <c r="B47" s="308"/>
      <c r="C47" s="309" t="s">
        <v>180</v>
      </c>
      <c r="D47" s="310"/>
      <c r="E47" s="311"/>
      <c r="F47" s="354"/>
      <c r="G47" s="374"/>
    </row>
    <row r="48" spans="1:7" s="11" customFormat="1" ht="12.75">
      <c r="A48" s="301">
        <f>A45+1</f>
        <v>18</v>
      </c>
      <c r="B48" s="182" t="s">
        <v>14</v>
      </c>
      <c r="C48" s="302" t="s">
        <v>181</v>
      </c>
      <c r="D48" s="21" t="s">
        <v>25</v>
      </c>
      <c r="E48" s="303"/>
      <c r="F48" s="352">
        <f>SUM(E49:E51)</f>
        <v>3</v>
      </c>
      <c r="G48" s="374"/>
    </row>
    <row r="49" spans="1:7" s="11" customFormat="1" ht="12.75">
      <c r="A49" s="312"/>
      <c r="B49" s="313"/>
      <c r="C49" s="314" t="s">
        <v>174</v>
      </c>
      <c r="D49" s="130" t="s">
        <v>25</v>
      </c>
      <c r="E49" s="315">
        <v>1</v>
      </c>
      <c r="F49" s="355"/>
      <c r="G49" s="374"/>
    </row>
    <row r="50" spans="1:7" s="11" customFormat="1" ht="12.75">
      <c r="A50" s="312"/>
      <c r="B50" s="313"/>
      <c r="C50" s="314" t="s">
        <v>169</v>
      </c>
      <c r="D50" s="130" t="s">
        <v>25</v>
      </c>
      <c r="E50" s="315">
        <v>1</v>
      </c>
      <c r="F50" s="355"/>
      <c r="G50" s="374"/>
    </row>
    <row r="51" spans="1:7" s="11" customFormat="1" ht="12.75">
      <c r="A51" s="312"/>
      <c r="B51" s="313"/>
      <c r="C51" s="314" t="s">
        <v>172</v>
      </c>
      <c r="D51" s="130" t="s">
        <v>25</v>
      </c>
      <c r="E51" s="315">
        <v>1</v>
      </c>
      <c r="F51" s="355"/>
      <c r="G51" s="374"/>
    </row>
    <row r="52" spans="1:7" s="11" customFormat="1" ht="76.5">
      <c r="A52" s="307"/>
      <c r="B52" s="308"/>
      <c r="C52" s="309" t="s">
        <v>180</v>
      </c>
      <c r="D52" s="310"/>
      <c r="E52" s="311"/>
      <c r="F52" s="354"/>
      <c r="G52" s="374"/>
    </row>
    <row r="53" spans="1:7" s="12" customFormat="1" ht="14.25">
      <c r="A53" s="483"/>
      <c r="B53" s="484"/>
      <c r="C53" s="484"/>
      <c r="D53" s="484"/>
      <c r="E53" s="484"/>
      <c r="F53" s="484"/>
      <c r="G53" s="375"/>
    </row>
    <row r="54" spans="1:7" s="9" customFormat="1" ht="28.5">
      <c r="A54" s="261" t="s">
        <v>6</v>
      </c>
      <c r="B54" s="83" t="s">
        <v>372</v>
      </c>
      <c r="C54" s="458" t="s">
        <v>373</v>
      </c>
      <c r="D54" s="459"/>
      <c r="E54" s="459"/>
      <c r="F54" s="459"/>
      <c r="G54" s="373"/>
    </row>
    <row r="55" spans="1:7" s="9" customFormat="1" ht="14.25">
      <c r="A55" s="261"/>
      <c r="B55" s="275" t="s">
        <v>18</v>
      </c>
      <c r="C55" s="460" t="s">
        <v>19</v>
      </c>
      <c r="D55" s="461"/>
      <c r="E55" s="461"/>
      <c r="F55" s="461"/>
      <c r="G55" s="373"/>
    </row>
    <row r="56" spans="1:6" ht="15">
      <c r="A56" s="262">
        <f>A48+1</f>
        <v>19</v>
      </c>
      <c r="B56" s="273" t="s">
        <v>18</v>
      </c>
      <c r="C56" s="4" t="s">
        <v>20</v>
      </c>
      <c r="D56" s="2" t="s">
        <v>374</v>
      </c>
      <c r="E56" s="113"/>
      <c r="F56" s="226">
        <f>SUM(E58:E59)</f>
        <v>1811.9</v>
      </c>
    </row>
    <row r="57" spans="1:7" s="13" customFormat="1" ht="14.25">
      <c r="A57" s="265"/>
      <c r="B57" s="276"/>
      <c r="C57" s="116" t="s">
        <v>21</v>
      </c>
      <c r="D57" s="117"/>
      <c r="E57" s="118"/>
      <c r="F57" s="227"/>
      <c r="G57" s="376"/>
    </row>
    <row r="58" spans="1:7" s="13" customFormat="1" ht="15">
      <c r="A58" s="266"/>
      <c r="B58" s="277"/>
      <c r="C58" s="119" t="s">
        <v>101</v>
      </c>
      <c r="D58" s="132" t="s">
        <v>375</v>
      </c>
      <c r="E58" s="118">
        <f>'roboty ziemne'!H85-E59</f>
        <v>1322.9</v>
      </c>
      <c r="F58" s="227"/>
      <c r="G58" s="376"/>
    </row>
    <row r="59" spans="1:7" s="13" customFormat="1" ht="15">
      <c r="A59" s="267"/>
      <c r="B59" s="278"/>
      <c r="C59" s="120" t="s">
        <v>102</v>
      </c>
      <c r="D59" s="133" t="s">
        <v>375</v>
      </c>
      <c r="E59" s="121">
        <f>E62</f>
        <v>489</v>
      </c>
      <c r="F59" s="228"/>
      <c r="G59" s="376"/>
    </row>
    <row r="60" spans="1:7" s="9" customFormat="1" ht="14.25">
      <c r="A60" s="261"/>
      <c r="B60" s="275" t="s">
        <v>22</v>
      </c>
      <c r="C60" s="462" t="s">
        <v>23</v>
      </c>
      <c r="D60" s="463"/>
      <c r="E60" s="463"/>
      <c r="F60" s="463"/>
      <c r="G60" s="373"/>
    </row>
    <row r="61" spans="1:7" s="14" customFormat="1" ht="38.25">
      <c r="A61" s="263">
        <f>A56+1</f>
        <v>20</v>
      </c>
      <c r="B61" s="273" t="s">
        <v>22</v>
      </c>
      <c r="C61" s="4" t="s">
        <v>24</v>
      </c>
      <c r="D61" s="2" t="s">
        <v>374</v>
      </c>
      <c r="E61" s="113"/>
      <c r="F61" s="226">
        <f>SUM(E62)</f>
        <v>489</v>
      </c>
      <c r="G61" s="377"/>
    </row>
    <row r="62" spans="1:7" s="14" customFormat="1" ht="25.5">
      <c r="A62" s="264"/>
      <c r="B62" s="274"/>
      <c r="C62" s="7" t="s">
        <v>103</v>
      </c>
      <c r="D62" s="5" t="s">
        <v>375</v>
      </c>
      <c r="E62" s="121">
        <f>'roboty ziemne'!I85</f>
        <v>489</v>
      </c>
      <c r="F62" s="228"/>
      <c r="G62" s="377"/>
    </row>
    <row r="63" spans="1:7" s="14" customFormat="1" ht="14.25">
      <c r="A63" s="485"/>
      <c r="B63" s="486"/>
      <c r="C63" s="486"/>
      <c r="D63" s="486"/>
      <c r="E63" s="486"/>
      <c r="F63" s="486"/>
      <c r="G63" s="377"/>
    </row>
    <row r="64" spans="1:7" s="14" customFormat="1" ht="38.25">
      <c r="A64" s="83" t="s">
        <v>291</v>
      </c>
      <c r="B64" s="83" t="s">
        <v>387</v>
      </c>
      <c r="C64" s="464" t="s">
        <v>292</v>
      </c>
      <c r="D64" s="465"/>
      <c r="E64" s="465"/>
      <c r="F64" s="466"/>
      <c r="G64" s="377"/>
    </row>
    <row r="65" spans="1:7" s="14" customFormat="1" ht="12.75">
      <c r="A65" s="321" t="s">
        <v>107</v>
      </c>
      <c r="B65" s="321" t="s">
        <v>293</v>
      </c>
      <c r="C65" s="467" t="s">
        <v>294</v>
      </c>
      <c r="D65" s="468"/>
      <c r="E65" s="468"/>
      <c r="F65" s="469"/>
      <c r="G65" s="377"/>
    </row>
    <row r="66" spans="1:7" s="14" customFormat="1" ht="38.25">
      <c r="A66" s="322">
        <f>A61+1</f>
        <v>21</v>
      </c>
      <c r="B66" s="295" t="s">
        <v>293</v>
      </c>
      <c r="C66" s="316" t="s">
        <v>303</v>
      </c>
      <c r="D66" s="220" t="s">
        <v>17</v>
      </c>
      <c r="E66" s="221" t="s">
        <v>107</v>
      </c>
      <c r="F66" s="356">
        <f>SUM(E66:E68)</f>
        <v>9</v>
      </c>
      <c r="G66" s="377"/>
    </row>
    <row r="67" spans="1:7" s="13" customFormat="1" ht="38.25">
      <c r="A67" s="323" t="s">
        <v>107</v>
      </c>
      <c r="B67" s="299" t="s">
        <v>107</v>
      </c>
      <c r="C67" s="317" t="s">
        <v>297</v>
      </c>
      <c r="D67" s="218" t="s">
        <v>107</v>
      </c>
      <c r="E67" s="218" t="s">
        <v>107</v>
      </c>
      <c r="F67" s="357" t="s">
        <v>107</v>
      </c>
      <c r="G67" s="376"/>
    </row>
    <row r="68" spans="1:7" s="13" customFormat="1" ht="12.75">
      <c r="A68" s="323" t="s">
        <v>107</v>
      </c>
      <c r="B68" s="299" t="s">
        <v>107</v>
      </c>
      <c r="C68" s="318" t="s">
        <v>295</v>
      </c>
      <c r="D68" s="239" t="s">
        <v>17</v>
      </c>
      <c r="E68" s="139">
        <v>9</v>
      </c>
      <c r="F68" s="229" t="s">
        <v>107</v>
      </c>
      <c r="G68" s="376"/>
    </row>
    <row r="69" spans="1:7" s="13" customFormat="1" ht="25.5">
      <c r="A69" s="324">
        <f>A66+1</f>
        <v>22</v>
      </c>
      <c r="B69" s="296" t="s">
        <v>293</v>
      </c>
      <c r="C69" s="319" t="s">
        <v>296</v>
      </c>
      <c r="D69" s="219" t="s">
        <v>25</v>
      </c>
      <c r="E69" s="269" t="s">
        <v>107</v>
      </c>
      <c r="F69" s="320">
        <v>2</v>
      </c>
      <c r="G69" s="376"/>
    </row>
    <row r="70" spans="1:7" s="13" customFormat="1" ht="14.25">
      <c r="A70" s="487"/>
      <c r="B70" s="488"/>
      <c r="C70" s="488"/>
      <c r="D70" s="488"/>
      <c r="E70" s="488"/>
      <c r="F70" s="488"/>
      <c r="G70" s="376"/>
    </row>
    <row r="71" spans="1:7" s="13" customFormat="1" ht="25.5" customHeight="1">
      <c r="A71" s="83" t="s">
        <v>6</v>
      </c>
      <c r="B71" s="83" t="s">
        <v>376</v>
      </c>
      <c r="C71" s="458" t="s">
        <v>377</v>
      </c>
      <c r="D71" s="459"/>
      <c r="E71" s="459"/>
      <c r="F71" s="459"/>
      <c r="G71" s="376"/>
    </row>
    <row r="72" spans="1:7" s="13" customFormat="1" ht="12.75">
      <c r="A72" s="294"/>
      <c r="B72" s="385" t="s">
        <v>311</v>
      </c>
      <c r="C72" s="460" t="s">
        <v>315</v>
      </c>
      <c r="D72" s="461"/>
      <c r="E72" s="461"/>
      <c r="F72" s="461"/>
      <c r="G72" s="376"/>
    </row>
    <row r="73" spans="1:7" s="13" customFormat="1" ht="15">
      <c r="A73" s="155">
        <f>A69+1</f>
        <v>23</v>
      </c>
      <c r="B73" s="3" t="s">
        <v>311</v>
      </c>
      <c r="C73" s="386" t="s">
        <v>312</v>
      </c>
      <c r="D73" s="140" t="s">
        <v>370</v>
      </c>
      <c r="E73" s="140"/>
      <c r="F73" s="474">
        <f>SUM(E75:E77)</f>
        <v>2201.5</v>
      </c>
      <c r="G73" s="376"/>
    </row>
    <row r="74" spans="1:7" s="13" customFormat="1" ht="12.75">
      <c r="A74" s="387"/>
      <c r="B74" s="330"/>
      <c r="C74" s="388" t="s">
        <v>313</v>
      </c>
      <c r="D74" s="142"/>
      <c r="E74" s="389"/>
      <c r="F74" s="474"/>
      <c r="G74" s="376"/>
    </row>
    <row r="75" spans="1:7" s="13" customFormat="1" ht="15">
      <c r="A75" s="390"/>
      <c r="B75" s="391"/>
      <c r="C75" s="224" t="s">
        <v>281</v>
      </c>
      <c r="D75" s="392" t="s">
        <v>370</v>
      </c>
      <c r="E75" s="393">
        <f>nawierzchnia!F19</f>
        <v>1888</v>
      </c>
      <c r="F75" s="474"/>
      <c r="G75" s="376"/>
    </row>
    <row r="76" spans="1:7" s="13" customFormat="1" ht="15">
      <c r="A76" s="394"/>
      <c r="B76" s="254"/>
      <c r="C76" s="224" t="s">
        <v>305</v>
      </c>
      <c r="D76" s="395" t="s">
        <v>370</v>
      </c>
      <c r="E76" s="393">
        <f>'zjazdy Lewa'!H16+'zjazdy Prawa'!H14</f>
        <v>53</v>
      </c>
      <c r="F76" s="474"/>
      <c r="G76" s="376"/>
    </row>
    <row r="77" spans="1:7" s="13" customFormat="1" ht="15">
      <c r="A77" s="396"/>
      <c r="B77" s="397"/>
      <c r="C77" s="398" t="s">
        <v>314</v>
      </c>
      <c r="D77" s="395" t="s">
        <v>370</v>
      </c>
      <c r="E77" s="393">
        <f>'zjazdy Lewa'!I16+'zjazdy Prawa'!I14</f>
        <v>260.5</v>
      </c>
      <c r="F77" s="474"/>
      <c r="G77" s="376"/>
    </row>
    <row r="78" spans="1:7" s="13" customFormat="1" ht="12.75">
      <c r="A78" s="294"/>
      <c r="B78" s="3" t="s">
        <v>307</v>
      </c>
      <c r="C78" s="481" t="s">
        <v>308</v>
      </c>
      <c r="D78" s="461"/>
      <c r="E78" s="461"/>
      <c r="F78" s="461"/>
      <c r="G78" s="376"/>
    </row>
    <row r="79" spans="1:7" s="13" customFormat="1" ht="15">
      <c r="A79" s="343">
        <f>A73+1</f>
        <v>24</v>
      </c>
      <c r="B79" s="3" t="s">
        <v>307</v>
      </c>
      <c r="C79" s="386" t="s">
        <v>309</v>
      </c>
      <c r="D79" s="140" t="s">
        <v>370</v>
      </c>
      <c r="E79" s="399"/>
      <c r="F79" s="474">
        <f>SUM(E79:E81)</f>
        <v>5868</v>
      </c>
      <c r="G79" s="376"/>
    </row>
    <row r="80" spans="1:7" s="13" customFormat="1" ht="12.75">
      <c r="A80" s="387"/>
      <c r="B80" s="330"/>
      <c r="C80" s="388" t="s">
        <v>154</v>
      </c>
      <c r="D80" s="394"/>
      <c r="E80" s="393"/>
      <c r="F80" s="474"/>
      <c r="G80" s="376"/>
    </row>
    <row r="81" spans="1:7" s="13" customFormat="1" ht="15">
      <c r="A81" s="387"/>
      <c r="B81" s="330"/>
      <c r="C81" s="388" t="s">
        <v>241</v>
      </c>
      <c r="D81" s="395" t="s">
        <v>370</v>
      </c>
      <c r="E81" s="393">
        <f>nawierzchnia!D7+nawierzchnia!D13+nawierzchnia!C19</f>
        <v>5868</v>
      </c>
      <c r="F81" s="474">
        <f>SUM(E81:E83)</f>
        <v>11736</v>
      </c>
      <c r="G81" s="376"/>
    </row>
    <row r="82" spans="1:7" s="13" customFormat="1" ht="15">
      <c r="A82" s="343">
        <f>A79+1</f>
        <v>25</v>
      </c>
      <c r="B82" s="3" t="s">
        <v>307</v>
      </c>
      <c r="C82" s="400" t="s">
        <v>310</v>
      </c>
      <c r="D82" s="140" t="s">
        <v>370</v>
      </c>
      <c r="E82" s="399"/>
      <c r="F82" s="474">
        <f>SUM(E82:E83)</f>
        <v>5868</v>
      </c>
      <c r="G82" s="376"/>
    </row>
    <row r="83" spans="1:7" s="13" customFormat="1" ht="15">
      <c r="A83" s="401"/>
      <c r="B83" s="330"/>
      <c r="C83" s="402" t="s">
        <v>310</v>
      </c>
      <c r="D83" s="403" t="s">
        <v>370</v>
      </c>
      <c r="E83" s="404">
        <f>E81</f>
        <v>5868</v>
      </c>
      <c r="F83" s="474">
        <f>SUM(E83:E83)</f>
        <v>5868</v>
      </c>
      <c r="G83" s="376"/>
    </row>
    <row r="84" spans="1:7" s="13" customFormat="1" ht="12.75">
      <c r="A84" s="405"/>
      <c r="B84" s="3" t="s">
        <v>282</v>
      </c>
      <c r="C84" s="478" t="s">
        <v>280</v>
      </c>
      <c r="D84" s="479"/>
      <c r="E84" s="479"/>
      <c r="F84" s="479"/>
      <c r="G84" s="376"/>
    </row>
    <row r="85" spans="1:7" s="13" customFormat="1" ht="25.5">
      <c r="A85" s="406">
        <f>A82+1</f>
        <v>26</v>
      </c>
      <c r="B85" s="475" t="s">
        <v>282</v>
      </c>
      <c r="C85" s="386" t="s">
        <v>288</v>
      </c>
      <c r="D85" s="136" t="s">
        <v>369</v>
      </c>
      <c r="E85" s="407"/>
      <c r="F85" s="226">
        <f>SUM(E85:E87)</f>
        <v>1888</v>
      </c>
      <c r="G85" s="376"/>
    </row>
    <row r="86" spans="1:7" s="13" customFormat="1" ht="25.5">
      <c r="A86" s="289"/>
      <c r="B86" s="476"/>
      <c r="C86" s="388" t="s">
        <v>283</v>
      </c>
      <c r="D86" s="137"/>
      <c r="E86" s="139"/>
      <c r="F86" s="229"/>
      <c r="G86" s="376"/>
    </row>
    <row r="87" spans="1:7" s="13" customFormat="1" ht="15">
      <c r="A87" s="289"/>
      <c r="B87" s="477"/>
      <c r="C87" s="408" t="s">
        <v>281</v>
      </c>
      <c r="D87" s="409" t="s">
        <v>370</v>
      </c>
      <c r="E87" s="410">
        <f>nawierzchnia!F19</f>
        <v>1888</v>
      </c>
      <c r="F87" s="411"/>
      <c r="G87" s="376"/>
    </row>
    <row r="88" spans="1:7" s="13" customFormat="1" ht="12.75">
      <c r="A88" s="405"/>
      <c r="B88" s="134" t="s">
        <v>27</v>
      </c>
      <c r="C88" s="460" t="s">
        <v>28</v>
      </c>
      <c r="D88" s="461"/>
      <c r="E88" s="461"/>
      <c r="F88" s="461"/>
      <c r="G88" s="376"/>
    </row>
    <row r="89" spans="1:7" s="13" customFormat="1" ht="25.5">
      <c r="A89" s="406">
        <f>A85+1</f>
        <v>27</v>
      </c>
      <c r="B89" s="3" t="s">
        <v>129</v>
      </c>
      <c r="C89" s="386" t="s">
        <v>318</v>
      </c>
      <c r="D89" s="136" t="s">
        <v>369</v>
      </c>
      <c r="E89" s="407"/>
      <c r="F89" s="226">
        <f>SUM(E91:E92)</f>
        <v>498</v>
      </c>
      <c r="G89" s="376"/>
    </row>
    <row r="90" spans="1:7" s="13" customFormat="1" ht="25.5">
      <c r="A90" s="289"/>
      <c r="B90" s="138"/>
      <c r="C90" s="388" t="s">
        <v>261</v>
      </c>
      <c r="D90" s="137"/>
      <c r="E90" s="139"/>
      <c r="F90" s="229"/>
      <c r="G90" s="376"/>
    </row>
    <row r="91" spans="1:7" s="13" customFormat="1" ht="15">
      <c r="A91" s="289"/>
      <c r="B91" s="138"/>
      <c r="C91" s="222" t="s">
        <v>154</v>
      </c>
      <c r="D91" s="137" t="s">
        <v>370</v>
      </c>
      <c r="E91" s="204">
        <f>nawierzchnia!I7</f>
        <v>395</v>
      </c>
      <c r="F91" s="229"/>
      <c r="G91" s="376"/>
    </row>
    <row r="92" spans="1:7" s="13" customFormat="1" ht="15">
      <c r="A92" s="289"/>
      <c r="B92" s="138"/>
      <c r="C92" s="222" t="s">
        <v>241</v>
      </c>
      <c r="D92" s="137" t="s">
        <v>370</v>
      </c>
      <c r="E92" s="204">
        <f>nawierzchnia!I13</f>
        <v>103</v>
      </c>
      <c r="F92" s="229"/>
      <c r="G92" s="376"/>
    </row>
    <row r="93" spans="1:7" s="13" customFormat="1" ht="25.5">
      <c r="A93" s="406">
        <f>A89+1</f>
        <v>28</v>
      </c>
      <c r="B93" s="135" t="s">
        <v>27</v>
      </c>
      <c r="C93" s="386" t="s">
        <v>304</v>
      </c>
      <c r="D93" s="136" t="s">
        <v>369</v>
      </c>
      <c r="E93" s="407"/>
      <c r="F93" s="226">
        <f>SUM(E95)</f>
        <v>1692</v>
      </c>
      <c r="G93" s="376"/>
    </row>
    <row r="94" spans="1:7" s="13" customFormat="1" ht="25.5">
      <c r="A94" s="289"/>
      <c r="B94" s="138"/>
      <c r="C94" s="388" t="s">
        <v>284</v>
      </c>
      <c r="D94" s="137"/>
      <c r="E94" s="139"/>
      <c r="F94" s="229"/>
      <c r="G94" s="376"/>
    </row>
    <row r="95" spans="1:7" s="13" customFormat="1" ht="15">
      <c r="A95" s="289"/>
      <c r="B95" s="138"/>
      <c r="C95" s="412" t="s">
        <v>281</v>
      </c>
      <c r="D95" s="137" t="s">
        <v>370</v>
      </c>
      <c r="E95" s="204">
        <f>nawierzchnia!E19</f>
        <v>1692</v>
      </c>
      <c r="F95" s="229"/>
      <c r="G95" s="376"/>
    </row>
    <row r="96" spans="1:7" s="13" customFormat="1" ht="25.5">
      <c r="A96" s="413">
        <f>A93+1</f>
        <v>29</v>
      </c>
      <c r="B96" s="135" t="s">
        <v>27</v>
      </c>
      <c r="C96" s="386" t="s">
        <v>104</v>
      </c>
      <c r="D96" s="136" t="s">
        <v>369</v>
      </c>
      <c r="E96" s="407"/>
      <c r="F96" s="226">
        <f>SUM(E98:E99)</f>
        <v>1628</v>
      </c>
      <c r="G96" s="376"/>
    </row>
    <row r="97" spans="1:7" s="13" customFormat="1" ht="25.5">
      <c r="A97" s="289"/>
      <c r="B97" s="138"/>
      <c r="C97" s="388" t="s">
        <v>155</v>
      </c>
      <c r="D97" s="137"/>
      <c r="E97" s="139"/>
      <c r="F97" s="229"/>
      <c r="G97" s="376"/>
    </row>
    <row r="98" spans="1:7" s="13" customFormat="1" ht="15">
      <c r="A98" s="289"/>
      <c r="B98" s="138"/>
      <c r="C98" s="222" t="s">
        <v>305</v>
      </c>
      <c r="D98" s="137" t="s">
        <v>370</v>
      </c>
      <c r="E98" s="204">
        <f>'zjazdy Prawa'!H14</f>
        <v>45</v>
      </c>
      <c r="F98" s="229"/>
      <c r="G98" s="376"/>
    </row>
    <row r="99" spans="1:7" s="13" customFormat="1" ht="15">
      <c r="A99" s="414"/>
      <c r="B99" s="415"/>
      <c r="C99" s="412" t="s">
        <v>281</v>
      </c>
      <c r="D99" s="416" t="s">
        <v>370</v>
      </c>
      <c r="E99" s="417">
        <f>nawierzchnia!D19</f>
        <v>1583</v>
      </c>
      <c r="F99" s="418"/>
      <c r="G99" s="376"/>
    </row>
    <row r="100" spans="1:7" s="13" customFormat="1" ht="25.5">
      <c r="A100" s="406">
        <f>A96+1</f>
        <v>30</v>
      </c>
      <c r="B100" s="135" t="s">
        <v>27</v>
      </c>
      <c r="C100" s="386" t="s">
        <v>106</v>
      </c>
      <c r="D100" s="136" t="s">
        <v>369</v>
      </c>
      <c r="E100" s="407"/>
      <c r="F100" s="226">
        <f>SUM(E102:E103)</f>
        <v>457</v>
      </c>
      <c r="G100" s="376"/>
    </row>
    <row r="101" spans="1:7" s="13" customFormat="1" ht="25.5">
      <c r="A101" s="289"/>
      <c r="B101" s="138"/>
      <c r="C101" s="388" t="s">
        <v>105</v>
      </c>
      <c r="D101" s="137"/>
      <c r="E101" s="139"/>
      <c r="F101" s="229"/>
      <c r="G101" s="376"/>
    </row>
    <row r="102" spans="1:9" s="13" customFormat="1" ht="15">
      <c r="A102" s="289"/>
      <c r="B102" s="138"/>
      <c r="C102" s="222" t="s">
        <v>154</v>
      </c>
      <c r="D102" s="137" t="s">
        <v>370</v>
      </c>
      <c r="E102" s="204">
        <f>nawierzchnia!H7</f>
        <v>362</v>
      </c>
      <c r="F102" s="229"/>
      <c r="G102" s="378"/>
      <c r="H102" s="256"/>
      <c r="I102" s="256"/>
    </row>
    <row r="103" spans="1:9" s="13" customFormat="1" ht="15">
      <c r="A103" s="137"/>
      <c r="B103" s="138"/>
      <c r="C103" s="222" t="s">
        <v>241</v>
      </c>
      <c r="D103" s="137" t="s">
        <v>370</v>
      </c>
      <c r="E103" s="204">
        <f>nawierzchnia!H13</f>
        <v>95</v>
      </c>
      <c r="F103" s="229"/>
      <c r="G103" s="378"/>
      <c r="H103" s="256"/>
      <c r="I103" s="256"/>
    </row>
    <row r="104" spans="1:7" s="256" customFormat="1" ht="12.75">
      <c r="A104" s="294"/>
      <c r="B104" s="253" t="s">
        <v>129</v>
      </c>
      <c r="C104" s="453" t="s">
        <v>348</v>
      </c>
      <c r="D104" s="454"/>
      <c r="E104" s="454"/>
      <c r="F104" s="454"/>
      <c r="G104" s="378"/>
    </row>
    <row r="105" spans="1:7" s="256" customFormat="1" ht="25.5">
      <c r="A105" s="295">
        <f>A100+1</f>
        <v>31</v>
      </c>
      <c r="B105" s="187" t="s">
        <v>129</v>
      </c>
      <c r="C105" s="419" t="s">
        <v>349</v>
      </c>
      <c r="D105" s="140" t="s">
        <v>369</v>
      </c>
      <c r="E105" s="141"/>
      <c r="F105" s="361">
        <f>SUM(E107)</f>
        <v>88</v>
      </c>
      <c r="G105" s="378"/>
    </row>
    <row r="106" spans="1:7" s="256" customFormat="1" ht="38.25">
      <c r="A106" s="394"/>
      <c r="B106" s="254"/>
      <c r="C106" s="420" t="s">
        <v>350</v>
      </c>
      <c r="D106" s="142"/>
      <c r="E106" s="250"/>
      <c r="F106" s="362"/>
      <c r="G106" s="378"/>
    </row>
    <row r="107" spans="1:7" s="256" customFormat="1" ht="15">
      <c r="A107" s="421"/>
      <c r="B107" s="144"/>
      <c r="C107" s="325" t="s">
        <v>351</v>
      </c>
      <c r="D107" s="143" t="s">
        <v>370</v>
      </c>
      <c r="E107" s="252">
        <f>chodniki!F7</f>
        <v>88</v>
      </c>
      <c r="F107" s="372"/>
      <c r="G107" s="378"/>
    </row>
    <row r="108" spans="1:7" s="256" customFormat="1" ht="25.5">
      <c r="A108" s="295">
        <f>A105+1</f>
        <v>32</v>
      </c>
      <c r="B108" s="187" t="s">
        <v>129</v>
      </c>
      <c r="C108" s="419" t="s">
        <v>352</v>
      </c>
      <c r="D108" s="140" t="s">
        <v>369</v>
      </c>
      <c r="E108" s="141"/>
      <c r="F108" s="361">
        <f>SUM(E110)</f>
        <v>17</v>
      </c>
      <c r="G108" s="378"/>
    </row>
    <row r="109" spans="1:7" s="256" customFormat="1" ht="38.25">
      <c r="A109" s="394"/>
      <c r="B109" s="254"/>
      <c r="C109" s="420" t="s">
        <v>353</v>
      </c>
      <c r="D109" s="142"/>
      <c r="E109" s="250"/>
      <c r="F109" s="362"/>
      <c r="G109" s="378"/>
    </row>
    <row r="110" spans="1:7" s="256" customFormat="1" ht="15">
      <c r="A110" s="421"/>
      <c r="B110" s="144"/>
      <c r="C110" s="325" t="s">
        <v>16</v>
      </c>
      <c r="D110" s="143" t="s">
        <v>370</v>
      </c>
      <c r="E110" s="252">
        <f>'zjazdy Prawa'!G14+'zjazdy Lewa'!G16</f>
        <v>17</v>
      </c>
      <c r="F110" s="372"/>
      <c r="G110" s="378"/>
    </row>
    <row r="111" spans="1:7" s="13" customFormat="1" ht="12.75">
      <c r="A111" s="287"/>
      <c r="B111" s="294" t="s">
        <v>247</v>
      </c>
      <c r="C111" s="480" t="s">
        <v>246</v>
      </c>
      <c r="D111" s="480"/>
      <c r="E111" s="480"/>
      <c r="F111" s="480"/>
      <c r="G111" s="376"/>
    </row>
    <row r="112" spans="1:7" s="13" customFormat="1" ht="25.5">
      <c r="A112" s="140">
        <f>A108+1</f>
        <v>33</v>
      </c>
      <c r="B112" s="135" t="s">
        <v>247</v>
      </c>
      <c r="C112" s="347" t="s">
        <v>306</v>
      </c>
      <c r="D112" s="407"/>
      <c r="E112" s="407"/>
      <c r="F112" s="226">
        <f>SUM(E112:E113)</f>
        <v>2064</v>
      </c>
      <c r="G112" s="376"/>
    </row>
    <row r="113" spans="1:7" s="13" customFormat="1" ht="15">
      <c r="A113" s="422"/>
      <c r="B113" s="423"/>
      <c r="C113" s="424" t="s">
        <v>241</v>
      </c>
      <c r="D113" s="425" t="s">
        <v>370</v>
      </c>
      <c r="E113" s="204">
        <f>nawierzchnia!C13</f>
        <v>2064</v>
      </c>
      <c r="F113" s="229"/>
      <c r="G113" s="376"/>
    </row>
    <row r="114" spans="1:7" s="13" customFormat="1" ht="12.75">
      <c r="A114" s="225"/>
      <c r="B114" s="187" t="s">
        <v>183</v>
      </c>
      <c r="C114" s="270" t="s">
        <v>182</v>
      </c>
      <c r="D114" s="271" t="s">
        <v>107</v>
      </c>
      <c r="E114" s="271"/>
      <c r="F114" s="230"/>
      <c r="G114" s="376"/>
    </row>
    <row r="115" spans="1:7" s="13" customFormat="1" ht="15">
      <c r="A115" s="281">
        <f>A112+1</f>
        <v>34</v>
      </c>
      <c r="B115" s="187" t="s">
        <v>183</v>
      </c>
      <c r="C115" s="146" t="s">
        <v>131</v>
      </c>
      <c r="D115" s="140" t="s">
        <v>369</v>
      </c>
      <c r="E115" s="426"/>
      <c r="F115" s="231">
        <f>SUM(E117:E118)</f>
        <v>5175</v>
      </c>
      <c r="G115" s="376"/>
    </row>
    <row r="116" spans="1:7" s="13" customFormat="1" ht="25.5">
      <c r="A116" s="280"/>
      <c r="B116" s="423"/>
      <c r="C116" s="427" t="s">
        <v>132</v>
      </c>
      <c r="D116" s="428"/>
      <c r="E116" s="428"/>
      <c r="F116" s="365"/>
      <c r="G116" s="376"/>
    </row>
    <row r="117" spans="1:7" s="13" customFormat="1" ht="15">
      <c r="A117" s="142"/>
      <c r="B117" s="423"/>
      <c r="C117" s="424" t="s">
        <v>281</v>
      </c>
      <c r="D117" s="428" t="s">
        <v>370</v>
      </c>
      <c r="E117" s="428">
        <f>nawierzchnia!G19</f>
        <v>3841</v>
      </c>
      <c r="F117" s="365"/>
      <c r="G117" s="376"/>
    </row>
    <row r="118" spans="1:7" s="13" customFormat="1" ht="15">
      <c r="A118" s="429"/>
      <c r="B118" s="430"/>
      <c r="C118" s="431" t="s">
        <v>244</v>
      </c>
      <c r="D118" s="432" t="s">
        <v>370</v>
      </c>
      <c r="E118" s="432">
        <f>nawierzchnia!J7+nawierzchnia!J13</f>
        <v>1334</v>
      </c>
      <c r="F118" s="433"/>
      <c r="G118" s="376"/>
    </row>
    <row r="119" spans="1:7" s="13" customFormat="1" ht="12.75">
      <c r="A119" s="455"/>
      <c r="B119" s="456"/>
      <c r="C119" s="456"/>
      <c r="D119" s="456"/>
      <c r="E119" s="456"/>
      <c r="F119" s="457"/>
      <c r="G119" s="376"/>
    </row>
    <row r="120" spans="1:7" s="13" customFormat="1" ht="25.5" customHeight="1">
      <c r="A120" s="150" t="s">
        <v>6</v>
      </c>
      <c r="B120" s="150" t="s">
        <v>378</v>
      </c>
      <c r="C120" s="458" t="s">
        <v>379</v>
      </c>
      <c r="D120" s="459"/>
      <c r="E120" s="459"/>
      <c r="F120" s="459"/>
      <c r="G120" s="376"/>
    </row>
    <row r="121" spans="1:7" s="13" customFormat="1" ht="12.75">
      <c r="A121" s="285"/>
      <c r="B121" s="187" t="s">
        <v>185</v>
      </c>
      <c r="C121" s="270" t="s">
        <v>184</v>
      </c>
      <c r="D121" s="271" t="s">
        <v>107</v>
      </c>
      <c r="E121" s="271"/>
      <c r="F121" s="230"/>
      <c r="G121" s="376"/>
    </row>
    <row r="122" spans="1:7" s="13" customFormat="1" ht="15">
      <c r="A122" s="281">
        <f>A115+1</f>
        <v>35</v>
      </c>
      <c r="B122" s="187" t="s">
        <v>185</v>
      </c>
      <c r="C122" s="154" t="s">
        <v>115</v>
      </c>
      <c r="D122" s="155" t="s">
        <v>369</v>
      </c>
      <c r="E122" s="141"/>
      <c r="F122" s="231">
        <f>SUM(E124:E124)</f>
        <v>260.5</v>
      </c>
      <c r="G122" s="376"/>
    </row>
    <row r="123" spans="1:7" s="13" customFormat="1" ht="12.75">
      <c r="A123" s="280"/>
      <c r="B123" s="148"/>
      <c r="C123" s="156" t="s">
        <v>116</v>
      </c>
      <c r="D123" s="147"/>
      <c r="E123" s="149"/>
      <c r="F123" s="232"/>
      <c r="G123" s="376"/>
    </row>
    <row r="124" spans="1:7" s="13" customFormat="1" ht="15">
      <c r="A124" s="286"/>
      <c r="B124" s="157"/>
      <c r="C124" s="223" t="s">
        <v>16</v>
      </c>
      <c r="D124" s="125" t="s">
        <v>370</v>
      </c>
      <c r="E124" s="126">
        <f>'zjazdy Lewa'!I16+'zjazdy Prawa'!I14</f>
        <v>260.5</v>
      </c>
      <c r="F124" s="351"/>
      <c r="G124" s="376"/>
    </row>
    <row r="125" spans="1:7" s="13" customFormat="1" ht="15">
      <c r="A125" s="281">
        <f>A122+1</f>
        <v>36</v>
      </c>
      <c r="B125" s="153" t="s">
        <v>185</v>
      </c>
      <c r="C125" s="154" t="s">
        <v>117</v>
      </c>
      <c r="D125" s="155" t="s">
        <v>369</v>
      </c>
      <c r="E125" s="141"/>
      <c r="F125" s="231">
        <f>SUM(E127:E127)</f>
        <v>1629.8</v>
      </c>
      <c r="G125" s="376"/>
    </row>
    <row r="126" spans="1:7" s="13" customFormat="1" ht="25.5">
      <c r="A126" s="280"/>
      <c r="B126" s="148"/>
      <c r="C126" s="156" t="s">
        <v>130</v>
      </c>
      <c r="D126" s="147"/>
      <c r="E126" s="149"/>
      <c r="F126" s="232"/>
      <c r="G126" s="376"/>
    </row>
    <row r="127" spans="1:7" s="13" customFormat="1" ht="15">
      <c r="A127" s="286"/>
      <c r="B127" s="157"/>
      <c r="C127" s="223" t="s">
        <v>108</v>
      </c>
      <c r="D127" s="125" t="s">
        <v>370</v>
      </c>
      <c r="E127" s="126">
        <f>1260*1.25+73*0.75</f>
        <v>1629.75</v>
      </c>
      <c r="F127" s="351"/>
      <c r="G127" s="376"/>
    </row>
    <row r="128" spans="1:7" s="13" customFormat="1" ht="12.75">
      <c r="A128" s="287"/>
      <c r="B128" s="151" t="s">
        <v>29</v>
      </c>
      <c r="C128" s="272" t="s">
        <v>30</v>
      </c>
      <c r="D128" s="272" t="s">
        <v>107</v>
      </c>
      <c r="E128" s="272"/>
      <c r="F128" s="358"/>
      <c r="G128" s="376"/>
    </row>
    <row r="129" spans="1:7" s="13" customFormat="1" ht="25.5">
      <c r="A129" s="281">
        <f>A125+1</f>
        <v>37</v>
      </c>
      <c r="B129" s="153" t="s">
        <v>29</v>
      </c>
      <c r="C129" s="154" t="s">
        <v>363</v>
      </c>
      <c r="D129" s="155" t="s">
        <v>369</v>
      </c>
      <c r="E129" s="141"/>
      <c r="F129" s="231">
        <f>SUM(E131:E131)</f>
        <v>294</v>
      </c>
      <c r="G129" s="376"/>
    </row>
    <row r="130" spans="1:7" s="13" customFormat="1" ht="25.5">
      <c r="A130" s="280"/>
      <c r="B130" s="148"/>
      <c r="C130" s="156" t="s">
        <v>262</v>
      </c>
      <c r="D130" s="125"/>
      <c r="E130" s="126"/>
      <c r="F130" s="232"/>
      <c r="G130" s="376"/>
    </row>
    <row r="131" spans="1:7" s="13" customFormat="1" ht="15">
      <c r="A131" s="280"/>
      <c r="B131" s="148"/>
      <c r="C131" s="224" t="s">
        <v>154</v>
      </c>
      <c r="D131" s="142" t="s">
        <v>370</v>
      </c>
      <c r="E131" s="205">
        <f>nawierzchnia!G7</f>
        <v>294</v>
      </c>
      <c r="F131" s="232"/>
      <c r="G131" s="376"/>
    </row>
    <row r="132" spans="1:7" s="13" customFormat="1" ht="25.5">
      <c r="A132" s="281">
        <f>A129+1</f>
        <v>38</v>
      </c>
      <c r="B132" s="153" t="s">
        <v>29</v>
      </c>
      <c r="C132" s="154" t="s">
        <v>364</v>
      </c>
      <c r="D132" s="155" t="s">
        <v>189</v>
      </c>
      <c r="E132" s="141"/>
      <c r="F132" s="231">
        <f>SUM(E133:E133)</f>
        <v>320.3</v>
      </c>
      <c r="G132" s="376"/>
    </row>
    <row r="133" spans="1:7" s="13" customFormat="1" ht="12.75">
      <c r="A133" s="280"/>
      <c r="B133" s="148"/>
      <c r="C133" s="224" t="s">
        <v>263</v>
      </c>
      <c r="D133" s="142" t="s">
        <v>189</v>
      </c>
      <c r="E133" s="126">
        <f>(nawierzchnia!E7+nawierzchnia!E13)*2.5</f>
        <v>320.25</v>
      </c>
      <c r="F133" s="232"/>
      <c r="G133" s="376"/>
    </row>
    <row r="134" spans="1:7" s="13" customFormat="1" ht="25.5">
      <c r="A134" s="281">
        <f>A132+1</f>
        <v>39</v>
      </c>
      <c r="B134" s="153" t="s">
        <v>29</v>
      </c>
      <c r="C134" s="154" t="s">
        <v>322</v>
      </c>
      <c r="D134" s="155" t="s">
        <v>374</v>
      </c>
      <c r="E134" s="141"/>
      <c r="F134" s="231">
        <f>SUM(E136:E137)</f>
        <v>4373</v>
      </c>
      <c r="G134" s="376"/>
    </row>
    <row r="135" spans="1:7" s="13" customFormat="1" ht="25.5">
      <c r="A135" s="280"/>
      <c r="B135" s="148"/>
      <c r="C135" s="156" t="s">
        <v>118</v>
      </c>
      <c r="D135" s="125"/>
      <c r="E135" s="126"/>
      <c r="F135" s="232"/>
      <c r="G135" s="376"/>
    </row>
    <row r="136" spans="1:7" s="13" customFormat="1" ht="15">
      <c r="A136" s="280"/>
      <c r="B136" s="148"/>
      <c r="C136" s="224" t="s">
        <v>154</v>
      </c>
      <c r="D136" s="142" t="s">
        <v>370</v>
      </c>
      <c r="E136" s="205">
        <f>nawierzchnia!D7</f>
        <v>2285</v>
      </c>
      <c r="F136" s="232"/>
      <c r="G136" s="376"/>
    </row>
    <row r="137" spans="1:7" s="13" customFormat="1" ht="15">
      <c r="A137" s="280"/>
      <c r="B137" s="148"/>
      <c r="C137" s="224" t="s">
        <v>241</v>
      </c>
      <c r="D137" s="142" t="s">
        <v>370</v>
      </c>
      <c r="E137" s="205">
        <f>nawierzchnia!D13</f>
        <v>2088</v>
      </c>
      <c r="F137" s="232"/>
      <c r="G137" s="376"/>
    </row>
    <row r="138" spans="1:7" s="13" customFormat="1" ht="25.5">
      <c r="A138" s="281">
        <f>A134+1</f>
        <v>40</v>
      </c>
      <c r="B138" s="153" t="s">
        <v>29</v>
      </c>
      <c r="C138" s="154" t="s">
        <v>321</v>
      </c>
      <c r="D138" s="155" t="s">
        <v>374</v>
      </c>
      <c r="E138" s="141"/>
      <c r="F138" s="231">
        <f>SUM(E140:E140)</f>
        <v>1495</v>
      </c>
      <c r="G138" s="376"/>
    </row>
    <row r="139" spans="1:7" s="13" customFormat="1" ht="25.5">
      <c r="A139" s="280"/>
      <c r="B139" s="148"/>
      <c r="C139" s="156" t="s">
        <v>289</v>
      </c>
      <c r="D139" s="125"/>
      <c r="E139" s="126"/>
      <c r="F139" s="232"/>
      <c r="G139" s="376"/>
    </row>
    <row r="140" spans="1:7" s="13" customFormat="1" ht="15">
      <c r="A140" s="280"/>
      <c r="B140" s="148"/>
      <c r="C140" s="224" t="s">
        <v>281</v>
      </c>
      <c r="D140" s="137" t="s">
        <v>375</v>
      </c>
      <c r="E140" s="205">
        <f>nawierzchnia!C19</f>
        <v>1495</v>
      </c>
      <c r="F140" s="232"/>
      <c r="G140" s="376"/>
    </row>
    <row r="141" spans="1:7" s="13" customFormat="1" ht="25.5">
      <c r="A141" s="281">
        <f>A138+1</f>
        <v>41</v>
      </c>
      <c r="B141" s="153" t="s">
        <v>29</v>
      </c>
      <c r="C141" s="154" t="s">
        <v>365</v>
      </c>
      <c r="D141" s="155" t="s">
        <v>369</v>
      </c>
      <c r="E141" s="141"/>
      <c r="F141" s="231">
        <f>SUM(E143:E145)</f>
        <v>4327</v>
      </c>
      <c r="G141" s="376"/>
    </row>
    <row r="142" spans="1:7" s="13" customFormat="1" ht="25.5">
      <c r="A142" s="280"/>
      <c r="B142" s="148"/>
      <c r="C142" s="156" t="s">
        <v>119</v>
      </c>
      <c r="D142" s="125"/>
      <c r="E142" s="126"/>
      <c r="F142" s="232"/>
      <c r="G142" s="376"/>
    </row>
    <row r="143" spans="1:7" s="13" customFormat="1" ht="15">
      <c r="A143" s="288"/>
      <c r="B143" s="148"/>
      <c r="C143" s="222" t="s">
        <v>154</v>
      </c>
      <c r="D143" s="137" t="s">
        <v>370</v>
      </c>
      <c r="E143" s="204">
        <f>nawierzchnia!B7</f>
        <v>2258</v>
      </c>
      <c r="F143" s="233"/>
      <c r="G143" s="376"/>
    </row>
    <row r="144" spans="1:7" s="13" customFormat="1" ht="15">
      <c r="A144" s="288"/>
      <c r="B144" s="148"/>
      <c r="C144" s="222" t="s">
        <v>241</v>
      </c>
      <c r="D144" s="137" t="s">
        <v>370</v>
      </c>
      <c r="E144" s="204">
        <f>nawierzchnia!B13</f>
        <v>2016</v>
      </c>
      <c r="F144" s="233"/>
      <c r="G144" s="376"/>
    </row>
    <row r="145" spans="1:7" s="13" customFormat="1" ht="15">
      <c r="A145" s="289"/>
      <c r="B145" s="148"/>
      <c r="C145" s="224" t="s">
        <v>31</v>
      </c>
      <c r="D145" s="137" t="s">
        <v>370</v>
      </c>
      <c r="E145" s="204">
        <f>E154</f>
        <v>53</v>
      </c>
      <c r="F145" s="229"/>
      <c r="G145" s="376"/>
    </row>
    <row r="146" spans="1:7" s="13" customFormat="1" ht="25.5">
      <c r="A146" s="281">
        <f>A141+1</f>
        <v>42</v>
      </c>
      <c r="B146" s="153" t="s">
        <v>29</v>
      </c>
      <c r="C146" s="154" t="s">
        <v>319</v>
      </c>
      <c r="D146" s="155" t="s">
        <v>369</v>
      </c>
      <c r="E146" s="141"/>
      <c r="F146" s="231">
        <f>SUM(E148:E148)</f>
        <v>1461</v>
      </c>
      <c r="G146" s="376"/>
    </row>
    <row r="147" spans="1:7" s="13" customFormat="1" ht="25.5">
      <c r="A147" s="280"/>
      <c r="B147" s="148"/>
      <c r="C147" s="156" t="s">
        <v>120</v>
      </c>
      <c r="D147" s="125"/>
      <c r="E147" s="126"/>
      <c r="F147" s="232"/>
      <c r="G147" s="376"/>
    </row>
    <row r="148" spans="1:7" s="13" customFormat="1" ht="15">
      <c r="A148" s="282"/>
      <c r="B148" s="144"/>
      <c r="C148" s="224" t="s">
        <v>281</v>
      </c>
      <c r="D148" s="143" t="s">
        <v>370</v>
      </c>
      <c r="E148" s="215">
        <f>nawierzchnia!B19</f>
        <v>1461</v>
      </c>
      <c r="F148" s="359"/>
      <c r="G148" s="376"/>
    </row>
    <row r="149" spans="1:7" s="13" customFormat="1" ht="25.5">
      <c r="A149" s="281">
        <f>A146+1</f>
        <v>43</v>
      </c>
      <c r="B149" s="153" t="s">
        <v>29</v>
      </c>
      <c r="C149" s="154" t="s">
        <v>320</v>
      </c>
      <c r="D149" s="155" t="s">
        <v>369</v>
      </c>
      <c r="E149" s="141"/>
      <c r="F149" s="231">
        <f>SUM(E151:E154)</f>
        <v>5672</v>
      </c>
      <c r="G149" s="376"/>
    </row>
    <row r="150" spans="1:7" s="13" customFormat="1" ht="25.5">
      <c r="A150" s="280"/>
      <c r="B150" s="148"/>
      <c r="C150" s="156" t="s">
        <v>109</v>
      </c>
      <c r="D150" s="147"/>
      <c r="E150" s="149"/>
      <c r="F150" s="232"/>
      <c r="G150" s="376"/>
    </row>
    <row r="151" spans="1:7" s="13" customFormat="1" ht="15">
      <c r="A151" s="280"/>
      <c r="B151" s="148"/>
      <c r="C151" s="224" t="s">
        <v>245</v>
      </c>
      <c r="D151" s="137" t="s">
        <v>370</v>
      </c>
      <c r="E151" s="206">
        <f>nawierzchnia!A7</f>
        <v>2211</v>
      </c>
      <c r="F151" s="232"/>
      <c r="G151" s="376"/>
    </row>
    <row r="152" spans="1:7" s="13" customFormat="1" ht="15">
      <c r="A152" s="280"/>
      <c r="B152" s="148"/>
      <c r="C152" s="224" t="s">
        <v>241</v>
      </c>
      <c r="D152" s="137" t="s">
        <v>370</v>
      </c>
      <c r="E152" s="206">
        <f>nawierzchnia!A13</f>
        <v>1974</v>
      </c>
      <c r="F152" s="232"/>
      <c r="G152" s="376"/>
    </row>
    <row r="153" spans="1:7" s="13" customFormat="1" ht="15">
      <c r="A153" s="280"/>
      <c r="B153" s="148"/>
      <c r="C153" s="224" t="s">
        <v>281</v>
      </c>
      <c r="D153" s="137" t="s">
        <v>370</v>
      </c>
      <c r="E153" s="206">
        <f>nawierzchnia!A19</f>
        <v>1434</v>
      </c>
      <c r="F153" s="232"/>
      <c r="G153" s="376"/>
    </row>
    <row r="154" spans="1:7" s="13" customFormat="1" ht="15">
      <c r="A154" s="282"/>
      <c r="B154" s="251"/>
      <c r="C154" s="259" t="s">
        <v>31</v>
      </c>
      <c r="D154" s="143" t="s">
        <v>370</v>
      </c>
      <c r="E154" s="260">
        <f>'zjazdy Lewa'!H16+'zjazdy Prawa'!H14</f>
        <v>53</v>
      </c>
      <c r="F154" s="360"/>
      <c r="G154" s="376"/>
    </row>
    <row r="155" spans="1:8" s="256" customFormat="1" ht="12.75">
      <c r="A155" s="290"/>
      <c r="B155" s="173" t="s">
        <v>356</v>
      </c>
      <c r="C155" s="490" t="s">
        <v>357</v>
      </c>
      <c r="D155" s="491"/>
      <c r="E155" s="491"/>
      <c r="F155" s="491"/>
      <c r="G155" s="379"/>
      <c r="H155" s="255"/>
    </row>
    <row r="156" spans="1:7" s="256" customFormat="1" ht="25.5">
      <c r="A156" s="281">
        <f>A149+1</f>
        <v>44</v>
      </c>
      <c r="B156" s="155" t="s">
        <v>356</v>
      </c>
      <c r="C156" s="154" t="s">
        <v>358</v>
      </c>
      <c r="D156" s="155" t="s">
        <v>369</v>
      </c>
      <c r="E156" s="141"/>
      <c r="F156" s="361">
        <f>SUM(E158)</f>
        <v>17</v>
      </c>
      <c r="G156" s="378"/>
    </row>
    <row r="157" spans="1:7" s="256" customFormat="1" ht="25.5">
      <c r="A157" s="175"/>
      <c r="B157" s="147"/>
      <c r="C157" s="156" t="s">
        <v>359</v>
      </c>
      <c r="D157" s="147"/>
      <c r="E157" s="250"/>
      <c r="F157" s="362"/>
      <c r="G157" s="378"/>
    </row>
    <row r="158" spans="1:7" s="256" customFormat="1" ht="15">
      <c r="A158" s="291"/>
      <c r="B158" s="159"/>
      <c r="C158" s="325" t="s">
        <v>16</v>
      </c>
      <c r="D158" s="128" t="s">
        <v>370</v>
      </c>
      <c r="E158" s="19">
        <f>'zjazdy Lewa'!G16</f>
        <v>17</v>
      </c>
      <c r="F158" s="363"/>
      <c r="G158" s="378"/>
    </row>
    <row r="159" spans="1:6" ht="12.75">
      <c r="A159" s="292"/>
      <c r="B159" s="238" t="s">
        <v>186</v>
      </c>
      <c r="C159" s="460" t="s">
        <v>187</v>
      </c>
      <c r="D159" s="461"/>
      <c r="E159" s="461"/>
      <c r="F159" s="461"/>
    </row>
    <row r="160" spans="1:6" ht="15">
      <c r="A160" s="293">
        <f>A156+1</f>
        <v>45</v>
      </c>
      <c r="B160" s="135" t="s">
        <v>186</v>
      </c>
      <c r="C160" s="160" t="s">
        <v>248</v>
      </c>
      <c r="D160" s="136" t="s">
        <v>369</v>
      </c>
      <c r="E160" s="161"/>
      <c r="F160" s="226">
        <f>SUM(E162:E163)</f>
        <v>4338</v>
      </c>
    </row>
    <row r="161" spans="1:6" ht="12.75">
      <c r="A161" s="289"/>
      <c r="B161" s="138"/>
      <c r="C161" s="162" t="s">
        <v>249</v>
      </c>
      <c r="D161" s="137"/>
      <c r="E161" s="163"/>
      <c r="F161" s="229"/>
    </row>
    <row r="162" spans="1:6" ht="15">
      <c r="A162" s="289"/>
      <c r="B162" s="138"/>
      <c r="C162" s="224" t="s">
        <v>154</v>
      </c>
      <c r="D162" s="137" t="s">
        <v>370</v>
      </c>
      <c r="E162" s="207">
        <f>nawierzchnia!F7</f>
        <v>2268</v>
      </c>
      <c r="F162" s="229"/>
    </row>
    <row r="163" spans="1:6" ht="15">
      <c r="A163" s="137"/>
      <c r="B163" s="138"/>
      <c r="C163" s="224" t="s">
        <v>241</v>
      </c>
      <c r="D163" s="137" t="s">
        <v>370</v>
      </c>
      <c r="E163" s="207">
        <f>nawierzchnia!F13</f>
        <v>2070</v>
      </c>
      <c r="F163" s="229"/>
    </row>
    <row r="164" spans="1:6" ht="12.75">
      <c r="A164" s="470"/>
      <c r="B164" s="471"/>
      <c r="C164" s="471"/>
      <c r="D164" s="471"/>
      <c r="E164" s="471"/>
      <c r="F164" s="471"/>
    </row>
    <row r="165" spans="1:6" ht="25.5">
      <c r="A165" s="172" t="s">
        <v>6</v>
      </c>
      <c r="B165" s="173" t="s">
        <v>380</v>
      </c>
      <c r="C165" s="472" t="s">
        <v>381</v>
      </c>
      <c r="D165" s="473"/>
      <c r="E165" s="473"/>
      <c r="F165" s="473"/>
    </row>
    <row r="166" spans="1:6" ht="12.75">
      <c r="A166" s="285"/>
      <c r="B166" s="151" t="s">
        <v>32</v>
      </c>
      <c r="C166" s="472" t="s">
        <v>110</v>
      </c>
      <c r="D166" s="473"/>
      <c r="E166" s="473"/>
      <c r="F166" s="473"/>
    </row>
    <row r="167" spans="1:6" ht="25.5">
      <c r="A167" s="279">
        <f>A160+1</f>
        <v>46</v>
      </c>
      <c r="B167" s="153" t="s">
        <v>32</v>
      </c>
      <c r="C167" s="174" t="s">
        <v>111</v>
      </c>
      <c r="D167" s="175" t="s">
        <v>369</v>
      </c>
      <c r="E167" s="176"/>
      <c r="F167" s="364">
        <f>SUM(E168)</f>
        <v>4017.6</v>
      </c>
    </row>
    <row r="168" spans="1:6" ht="15">
      <c r="A168" s="280"/>
      <c r="B168" s="164"/>
      <c r="C168" s="156" t="s">
        <v>99</v>
      </c>
      <c r="D168" s="125" t="s">
        <v>370</v>
      </c>
      <c r="E168" s="126">
        <f>'ułożenie humusu'!F81</f>
        <v>4017.6</v>
      </c>
      <c r="F168" s="365"/>
    </row>
    <row r="169" spans="1:6" ht="12.75">
      <c r="A169" s="281">
        <f>A167+1</f>
        <v>47</v>
      </c>
      <c r="B169" s="153" t="s">
        <v>32</v>
      </c>
      <c r="C169" s="154" t="s">
        <v>112</v>
      </c>
      <c r="D169" s="123" t="s">
        <v>17</v>
      </c>
      <c r="E169" s="165"/>
      <c r="F169" s="231">
        <f>SUM(E170)</f>
        <v>58</v>
      </c>
    </row>
    <row r="170" spans="1:6" ht="25.5">
      <c r="A170" s="282"/>
      <c r="B170" s="166"/>
      <c r="C170" s="167" t="s">
        <v>113</v>
      </c>
      <c r="D170" s="128" t="s">
        <v>17</v>
      </c>
      <c r="E170" s="128">
        <f>ścieki!C8</f>
        <v>58</v>
      </c>
      <c r="F170" s="359"/>
    </row>
    <row r="171" spans="1:6" ht="12.75">
      <c r="A171" s="281">
        <f>A169+1</f>
        <v>48</v>
      </c>
      <c r="B171" s="153" t="s">
        <v>32</v>
      </c>
      <c r="C171" s="154" t="s">
        <v>264</v>
      </c>
      <c r="D171" s="123" t="s">
        <v>17</v>
      </c>
      <c r="E171" s="165"/>
      <c r="F171" s="231">
        <f>ścieki!F8</f>
        <v>24</v>
      </c>
    </row>
    <row r="172" spans="1:6" ht="12.75">
      <c r="A172" s="282"/>
      <c r="B172" s="166"/>
      <c r="C172" s="167" t="s">
        <v>269</v>
      </c>
      <c r="D172" s="128" t="s">
        <v>17</v>
      </c>
      <c r="E172" s="128">
        <f>ścieki!F8</f>
        <v>24</v>
      </c>
      <c r="F172" s="359"/>
    </row>
    <row r="173" spans="1:6" ht="12.75">
      <c r="A173" s="281">
        <f>A171+1</f>
        <v>49</v>
      </c>
      <c r="B173" s="153" t="s">
        <v>32</v>
      </c>
      <c r="C173" s="154" t="s">
        <v>264</v>
      </c>
      <c r="D173" s="123" t="s">
        <v>17</v>
      </c>
      <c r="E173" s="165"/>
      <c r="F173" s="231">
        <f>SUM(E174)</f>
        <v>151.2</v>
      </c>
    </row>
    <row r="174" spans="1:6" ht="25.5">
      <c r="A174" s="282"/>
      <c r="B174" s="166"/>
      <c r="C174" s="167" t="s">
        <v>268</v>
      </c>
      <c r="D174" s="128" t="s">
        <v>17</v>
      </c>
      <c r="E174" s="128">
        <f>ścieki!D8</f>
        <v>151.200000000001</v>
      </c>
      <c r="F174" s="359"/>
    </row>
    <row r="175" spans="1:6" ht="38.25">
      <c r="A175" s="281">
        <f>A173+1</f>
        <v>50</v>
      </c>
      <c r="B175" s="153" t="s">
        <v>32</v>
      </c>
      <c r="C175" s="154" t="s">
        <v>114</v>
      </c>
      <c r="D175" s="155" t="s">
        <v>369</v>
      </c>
      <c r="E175" s="141"/>
      <c r="F175" s="231">
        <f>SUM(E176)</f>
        <v>69.6</v>
      </c>
    </row>
    <row r="176" spans="1:6" ht="25.5">
      <c r="A176" s="282"/>
      <c r="B176" s="166"/>
      <c r="C176" s="167" t="s">
        <v>121</v>
      </c>
      <c r="D176" s="158" t="s">
        <v>370</v>
      </c>
      <c r="E176" s="19">
        <f>ścieki!E8</f>
        <v>69.6</v>
      </c>
      <c r="F176" s="359"/>
    </row>
    <row r="177" spans="1:6" ht="25.5">
      <c r="A177" s="281">
        <f>A175+1</f>
        <v>51</v>
      </c>
      <c r="B177" s="188" t="s">
        <v>124</v>
      </c>
      <c r="C177" s="146" t="s">
        <v>257</v>
      </c>
      <c r="D177" s="21" t="s">
        <v>17</v>
      </c>
      <c r="E177" s="141"/>
      <c r="F177" s="231">
        <f>SUM(E178)</f>
        <v>58.5</v>
      </c>
    </row>
    <row r="178" spans="1:6" ht="38.25">
      <c r="A178" s="283"/>
      <c r="B178" s="189"/>
      <c r="C178" s="168" t="s">
        <v>258</v>
      </c>
      <c r="D178" s="22" t="s">
        <v>17</v>
      </c>
      <c r="E178" s="19">
        <f>'zjazdy Lewa'!K16+'zjazdy Prawa'!K14</f>
        <v>58.5</v>
      </c>
      <c r="F178" s="359"/>
    </row>
    <row r="179" spans="1:6" ht="25.5">
      <c r="A179" s="281">
        <f>A177+1</f>
        <v>52</v>
      </c>
      <c r="B179" s="188" t="s">
        <v>124</v>
      </c>
      <c r="C179" s="169" t="s">
        <v>127</v>
      </c>
      <c r="D179" s="21" t="s">
        <v>25</v>
      </c>
      <c r="E179" s="141"/>
      <c r="F179" s="231">
        <f>SUM(E180)</f>
        <v>16</v>
      </c>
    </row>
    <row r="180" spans="1:6" ht="51">
      <c r="A180" s="284"/>
      <c r="B180" s="170"/>
      <c r="C180" s="171" t="s">
        <v>128</v>
      </c>
      <c r="D180" s="22" t="s">
        <v>25</v>
      </c>
      <c r="E180" s="19">
        <f>'zjazdy Lewa'!N16+'zjazdy Prawa'!N14</f>
        <v>16</v>
      </c>
      <c r="F180" s="359"/>
    </row>
    <row r="181" spans="1:6" ht="12.75">
      <c r="A181" s="449"/>
      <c r="B181" s="450"/>
      <c r="C181" s="450"/>
      <c r="D181" s="450"/>
      <c r="E181" s="450"/>
      <c r="F181" s="450"/>
    </row>
    <row r="182" spans="1:6" ht="38.25">
      <c r="A182" s="296" t="s">
        <v>382</v>
      </c>
      <c r="B182" s="296" t="s">
        <v>383</v>
      </c>
      <c r="C182" s="451" t="s">
        <v>384</v>
      </c>
      <c r="D182" s="452"/>
      <c r="E182" s="452"/>
      <c r="F182" s="452"/>
    </row>
    <row r="183" spans="1:6" ht="12.75">
      <c r="A183" s="294"/>
      <c r="B183" s="326" t="s">
        <v>157</v>
      </c>
      <c r="C183" s="453" t="s">
        <v>158</v>
      </c>
      <c r="D183" s="454"/>
      <c r="E183" s="454"/>
      <c r="F183" s="454"/>
    </row>
    <row r="184" spans="1:6" ht="25.5">
      <c r="A184" s="281">
        <f>A179+1</f>
        <v>53</v>
      </c>
      <c r="B184" s="187" t="s">
        <v>157</v>
      </c>
      <c r="C184" s="327" t="s">
        <v>265</v>
      </c>
      <c r="D184" s="295" t="s">
        <v>369</v>
      </c>
      <c r="E184" s="328"/>
      <c r="F184" s="366">
        <f>SUM(E185:E186)</f>
        <v>186.4</v>
      </c>
    </row>
    <row r="185" spans="1:6" ht="15">
      <c r="A185" s="329"/>
      <c r="B185" s="330"/>
      <c r="C185" s="224" t="s">
        <v>159</v>
      </c>
      <c r="D185" s="142" t="s">
        <v>370</v>
      </c>
      <c r="E185" s="331">
        <f>20*0.12</f>
        <v>2.4</v>
      </c>
      <c r="F185" s="367"/>
    </row>
    <row r="186" spans="1:6" ht="15">
      <c r="A186" s="284"/>
      <c r="B186" s="189"/>
      <c r="C186" s="259" t="s">
        <v>160</v>
      </c>
      <c r="D186" s="143" t="s">
        <v>370</v>
      </c>
      <c r="E186" s="332">
        <f>(43.1+45.2+4.7+78.8+142.3+141+41.4+237+16.6+387.8+188.5+168)*0.12+4.7</f>
        <v>184.03</v>
      </c>
      <c r="F186" s="368"/>
    </row>
    <row r="187" spans="1:6" ht="25.5">
      <c r="A187" s="281">
        <f>A184+1</f>
        <v>54</v>
      </c>
      <c r="B187" s="187" t="s">
        <v>157</v>
      </c>
      <c r="C187" s="333" t="s">
        <v>266</v>
      </c>
      <c r="D187" s="295" t="s">
        <v>369</v>
      </c>
      <c r="E187" s="328"/>
      <c r="F187" s="366">
        <f>SUM(E188:E193)</f>
        <v>97.7</v>
      </c>
    </row>
    <row r="188" spans="1:6" ht="15">
      <c r="A188" s="329"/>
      <c r="B188" s="330"/>
      <c r="C188" s="334" t="s">
        <v>396</v>
      </c>
      <c r="D188" s="335" t="s">
        <v>370</v>
      </c>
      <c r="E188" s="336">
        <v>2.16</v>
      </c>
      <c r="F188" s="367"/>
    </row>
    <row r="189" spans="1:6" ht="15">
      <c r="A189" s="329"/>
      <c r="B189" s="330"/>
      <c r="C189" s="334" t="s">
        <v>251</v>
      </c>
      <c r="D189" s="335" t="s">
        <v>370</v>
      </c>
      <c r="E189" s="336">
        <v>3.84</v>
      </c>
      <c r="F189" s="367"/>
    </row>
    <row r="190" spans="1:6" ht="15">
      <c r="A190" s="337"/>
      <c r="B190" s="254"/>
      <c r="C190" s="334" t="s">
        <v>161</v>
      </c>
      <c r="D190" s="335" t="s">
        <v>370</v>
      </c>
      <c r="E190" s="336">
        <v>1.2</v>
      </c>
      <c r="F190" s="369"/>
    </row>
    <row r="191" spans="1:6" ht="15">
      <c r="A191" s="337"/>
      <c r="B191" s="254"/>
      <c r="C191" s="334" t="s">
        <v>162</v>
      </c>
      <c r="D191" s="335" t="s">
        <v>370</v>
      </c>
      <c r="E191" s="336">
        <v>48</v>
      </c>
      <c r="F191" s="369"/>
    </row>
    <row r="192" spans="1:6" ht="15">
      <c r="A192" s="337"/>
      <c r="B192" s="254"/>
      <c r="C192" s="334" t="s">
        <v>163</v>
      </c>
      <c r="D192" s="335" t="s">
        <v>370</v>
      </c>
      <c r="E192" s="336">
        <v>36</v>
      </c>
      <c r="F192" s="369"/>
    </row>
    <row r="193" spans="1:6" ht="15">
      <c r="A193" s="337"/>
      <c r="B193" s="254"/>
      <c r="C193" s="338" t="s">
        <v>164</v>
      </c>
      <c r="D193" s="335" t="s">
        <v>370</v>
      </c>
      <c r="E193" s="336">
        <v>6.48</v>
      </c>
      <c r="F193" s="368"/>
    </row>
    <row r="194" spans="1:6" ht="25.5">
      <c r="A194" s="281">
        <f>A187+1</f>
        <v>55</v>
      </c>
      <c r="B194" s="187" t="s">
        <v>157</v>
      </c>
      <c r="C194" s="333" t="s">
        <v>267</v>
      </c>
      <c r="D194" s="295" t="s">
        <v>369</v>
      </c>
      <c r="E194" s="328"/>
      <c r="F194" s="366">
        <f>SUM(E195:E195)</f>
        <v>4.2</v>
      </c>
    </row>
    <row r="195" spans="1:6" ht="15">
      <c r="A195" s="337"/>
      <c r="B195" s="254"/>
      <c r="C195" s="224" t="s">
        <v>252</v>
      </c>
      <c r="D195" s="339" t="s">
        <v>370</v>
      </c>
      <c r="E195" s="331">
        <v>4.2</v>
      </c>
      <c r="F195" s="369"/>
    </row>
    <row r="196" spans="1:6" ht="12.75">
      <c r="A196" s="287"/>
      <c r="B196" s="326" t="s">
        <v>165</v>
      </c>
      <c r="C196" s="453" t="s">
        <v>166</v>
      </c>
      <c r="D196" s="454"/>
      <c r="E196" s="454"/>
      <c r="F196" s="454"/>
    </row>
    <row r="197" spans="1:6" ht="12.75">
      <c r="A197" s="281">
        <f>A194+1</f>
        <v>56</v>
      </c>
      <c r="B197" s="187" t="s">
        <v>165</v>
      </c>
      <c r="C197" s="340" t="s">
        <v>167</v>
      </c>
      <c r="D197" s="140" t="s">
        <v>25</v>
      </c>
      <c r="E197" s="341"/>
      <c r="F197" s="370">
        <f>E198</f>
        <v>5</v>
      </c>
    </row>
    <row r="198" spans="1:6" ht="12.75">
      <c r="A198" s="282"/>
      <c r="B198" s="189"/>
      <c r="C198" s="259"/>
      <c r="D198" s="143" t="s">
        <v>25</v>
      </c>
      <c r="E198" s="342">
        <v>5</v>
      </c>
      <c r="F198" s="359"/>
    </row>
    <row r="199" spans="1:8" s="208" customFormat="1" ht="25.5">
      <c r="A199" s="343">
        <f>A197+1</f>
        <v>57</v>
      </c>
      <c r="B199" s="187" t="s">
        <v>165</v>
      </c>
      <c r="C199" s="340" t="s">
        <v>168</v>
      </c>
      <c r="D199" s="140" t="s">
        <v>25</v>
      </c>
      <c r="E199" s="341"/>
      <c r="F199" s="370">
        <f>SUM(E200:E205)</f>
        <v>6</v>
      </c>
      <c r="G199" s="374"/>
      <c r="H199" s="10"/>
    </row>
    <row r="200" spans="1:9" s="208" customFormat="1" ht="12.75">
      <c r="A200" s="440"/>
      <c r="B200" s="441"/>
      <c r="C200" s="442" t="s">
        <v>397</v>
      </c>
      <c r="D200" s="443" t="s">
        <v>25</v>
      </c>
      <c r="E200" s="444">
        <v>1</v>
      </c>
      <c r="F200" s="444"/>
      <c r="G200" s="445"/>
      <c r="H200" s="446"/>
      <c r="I200" s="446"/>
    </row>
    <row r="201" spans="1:9" s="208" customFormat="1" ht="12.75">
      <c r="A201" s="440"/>
      <c r="B201" s="441"/>
      <c r="C201" s="442" t="s">
        <v>398</v>
      </c>
      <c r="D201" s="443" t="s">
        <v>25</v>
      </c>
      <c r="E201" s="444">
        <v>1</v>
      </c>
      <c r="F201" s="444"/>
      <c r="G201" s="445"/>
      <c r="H201" s="446"/>
      <c r="I201" s="446"/>
    </row>
    <row r="202" spans="1:6" ht="12.75">
      <c r="A202" s="337"/>
      <c r="B202" s="254"/>
      <c r="C202" s="334" t="s">
        <v>169</v>
      </c>
      <c r="D202" s="344" t="s">
        <v>25</v>
      </c>
      <c r="E202" s="336">
        <v>1</v>
      </c>
      <c r="F202" s="369"/>
    </row>
    <row r="203" spans="1:8" s="209" customFormat="1" ht="12.75">
      <c r="A203" s="337"/>
      <c r="B203" s="254"/>
      <c r="C203" s="334" t="s">
        <v>170</v>
      </c>
      <c r="D203" s="344" t="s">
        <v>25</v>
      </c>
      <c r="E203" s="336">
        <v>1</v>
      </c>
      <c r="F203" s="369"/>
      <c r="G203" s="380"/>
      <c r="H203" s="10"/>
    </row>
    <row r="204" spans="1:7" s="209" customFormat="1" ht="12.75">
      <c r="A204" s="337"/>
      <c r="B204" s="254"/>
      <c r="C204" s="334" t="s">
        <v>171</v>
      </c>
      <c r="D204" s="344" t="s">
        <v>25</v>
      </c>
      <c r="E204" s="336">
        <v>1</v>
      </c>
      <c r="F204" s="369"/>
      <c r="G204" s="380"/>
    </row>
    <row r="205" spans="1:6" ht="12.75">
      <c r="A205" s="337"/>
      <c r="B205" s="254"/>
      <c r="C205" s="334" t="s">
        <v>172</v>
      </c>
      <c r="D205" s="344" t="s">
        <v>25</v>
      </c>
      <c r="E205" s="336">
        <v>1</v>
      </c>
      <c r="F205" s="369"/>
    </row>
    <row r="206" spans="1:7" s="209" customFormat="1" ht="25.5">
      <c r="A206" s="343">
        <f>A199+1</f>
        <v>58</v>
      </c>
      <c r="B206" s="187" t="s">
        <v>165</v>
      </c>
      <c r="C206" s="340" t="s">
        <v>173</v>
      </c>
      <c r="D206" s="140" t="s">
        <v>25</v>
      </c>
      <c r="E206" s="341"/>
      <c r="F206" s="370">
        <f>SUM(E207:E207)</f>
        <v>1</v>
      </c>
      <c r="G206" s="380"/>
    </row>
    <row r="207" spans="1:7" s="209" customFormat="1" ht="12.75">
      <c r="A207" s="280"/>
      <c r="B207" s="254"/>
      <c r="C207" s="334" t="s">
        <v>175</v>
      </c>
      <c r="D207" s="335" t="s">
        <v>25</v>
      </c>
      <c r="E207" s="345">
        <v>1</v>
      </c>
      <c r="F207" s="365"/>
      <c r="G207" s="380"/>
    </row>
    <row r="208" spans="1:6" ht="12.75">
      <c r="A208" s="287"/>
      <c r="B208" s="326" t="s">
        <v>176</v>
      </c>
      <c r="C208" s="453" t="s">
        <v>177</v>
      </c>
      <c r="D208" s="454"/>
      <c r="E208" s="454"/>
      <c r="F208" s="454"/>
    </row>
    <row r="209" spans="1:6" ht="12.75">
      <c r="A209" s="343">
        <f>A206+1</f>
        <v>59</v>
      </c>
      <c r="B209" s="188" t="s">
        <v>176</v>
      </c>
      <c r="C209" s="340" t="s">
        <v>253</v>
      </c>
      <c r="D209" s="140" t="s">
        <v>17</v>
      </c>
      <c r="E209" s="341"/>
      <c r="F209" s="370">
        <f>E210</f>
        <v>80</v>
      </c>
    </row>
    <row r="210" spans="1:8" ht="12.75">
      <c r="A210" s="282"/>
      <c r="B210" s="189"/>
      <c r="C210" s="346" t="s">
        <v>178</v>
      </c>
      <c r="D210" s="143" t="s">
        <v>17</v>
      </c>
      <c r="E210" s="342">
        <v>80</v>
      </c>
      <c r="F210" s="359"/>
      <c r="G210" s="381"/>
      <c r="H210" s="249"/>
    </row>
    <row r="211" spans="1:8" ht="12.75">
      <c r="A211" s="343">
        <f>A209+1</f>
        <v>60</v>
      </c>
      <c r="B211" s="188" t="s">
        <v>254</v>
      </c>
      <c r="C211" s="340" t="s">
        <v>255</v>
      </c>
      <c r="D211" s="140" t="s">
        <v>17</v>
      </c>
      <c r="E211" s="341"/>
      <c r="F211" s="370">
        <f>E212</f>
        <v>20</v>
      </c>
      <c r="G211" s="381"/>
      <c r="H211" s="249"/>
    </row>
    <row r="212" spans="1:9" ht="12.75">
      <c r="A212" s="282"/>
      <c r="B212" s="189"/>
      <c r="C212" s="346" t="s">
        <v>256</v>
      </c>
      <c r="D212" s="143" t="s">
        <v>17</v>
      </c>
      <c r="E212" s="342">
        <v>20</v>
      </c>
      <c r="F212" s="359"/>
      <c r="G212" s="381"/>
      <c r="H212" s="249"/>
      <c r="I212" s="249"/>
    </row>
    <row r="213" spans="1:9" ht="14.25">
      <c r="A213" s="447"/>
      <c r="B213" s="448"/>
      <c r="C213" s="448"/>
      <c r="D213" s="448"/>
      <c r="E213" s="448"/>
      <c r="F213" s="448"/>
      <c r="G213" s="381"/>
      <c r="H213" s="249"/>
      <c r="I213" s="249"/>
    </row>
    <row r="214" spans="1:7" s="249" customFormat="1" ht="25.5">
      <c r="A214" s="150" t="s">
        <v>6</v>
      </c>
      <c r="B214" s="151" t="s">
        <v>385</v>
      </c>
      <c r="C214" s="472" t="s">
        <v>386</v>
      </c>
      <c r="D214" s="473"/>
      <c r="E214" s="473"/>
      <c r="F214" s="473"/>
      <c r="G214" s="381"/>
    </row>
    <row r="215" spans="1:7" s="249" customFormat="1" ht="25.5">
      <c r="A215" s="343">
        <f>A211+1</f>
        <v>61</v>
      </c>
      <c r="B215" s="153" t="s">
        <v>335</v>
      </c>
      <c r="C215" s="174" t="s">
        <v>336</v>
      </c>
      <c r="D215" s="175" t="s">
        <v>17</v>
      </c>
      <c r="E215" s="176"/>
      <c r="F215" s="371">
        <f>SUM(E216:E216)</f>
        <v>4</v>
      </c>
      <c r="G215" s="381"/>
    </row>
    <row r="216" spans="1:7" s="249" customFormat="1" ht="25.5">
      <c r="A216" s="175"/>
      <c r="B216" s="164"/>
      <c r="C216" s="156" t="s">
        <v>337</v>
      </c>
      <c r="D216" s="147" t="s">
        <v>17</v>
      </c>
      <c r="E216" s="250">
        <f>chodniki!C7</f>
        <v>4</v>
      </c>
      <c r="F216" s="362"/>
      <c r="G216" s="381"/>
    </row>
    <row r="217" spans="1:7" s="249" customFormat="1" ht="25.5">
      <c r="A217" s="343">
        <f>A215+1</f>
        <v>62</v>
      </c>
      <c r="B217" s="153" t="s">
        <v>335</v>
      </c>
      <c r="C217" s="154" t="s">
        <v>338</v>
      </c>
      <c r="D217" s="155" t="s">
        <v>17</v>
      </c>
      <c r="E217" s="141"/>
      <c r="F217" s="361">
        <f>SUM(E218:E218)</f>
        <v>51</v>
      </c>
      <c r="G217" s="381"/>
    </row>
    <row r="218" spans="1:7" s="249" customFormat="1" ht="25.5">
      <c r="A218" s="175"/>
      <c r="B218" s="164"/>
      <c r="C218" s="156" t="s">
        <v>339</v>
      </c>
      <c r="D218" s="147" t="s">
        <v>17</v>
      </c>
      <c r="E218" s="250">
        <f>chodniki!B7</f>
        <v>51</v>
      </c>
      <c r="F218" s="362"/>
      <c r="G218" s="381"/>
    </row>
    <row r="219" spans="1:7" s="249" customFormat="1" ht="12.75">
      <c r="A219" s="285"/>
      <c r="B219" s="151" t="s">
        <v>340</v>
      </c>
      <c r="C219" s="489" t="s">
        <v>341</v>
      </c>
      <c r="D219" s="489"/>
      <c r="E219" s="489"/>
      <c r="F219" s="489"/>
      <c r="G219" s="381"/>
    </row>
    <row r="220" spans="1:7" s="249" customFormat="1" ht="25.5">
      <c r="A220" s="343">
        <f>A217+1</f>
        <v>63</v>
      </c>
      <c r="B220" s="153" t="s">
        <v>340</v>
      </c>
      <c r="C220" s="174" t="s">
        <v>342</v>
      </c>
      <c r="D220" s="175" t="s">
        <v>369</v>
      </c>
      <c r="E220" s="176"/>
      <c r="F220" s="371">
        <f>SUM(E221)</f>
        <v>88</v>
      </c>
      <c r="G220" s="381"/>
    </row>
    <row r="221" spans="1:7" s="249" customFormat="1" ht="25.5">
      <c r="A221" s="175" t="s">
        <v>107</v>
      </c>
      <c r="B221" s="164"/>
      <c r="C221" s="156" t="s">
        <v>343</v>
      </c>
      <c r="D221" s="147" t="s">
        <v>370</v>
      </c>
      <c r="E221" s="250">
        <f>chodniki!E7</f>
        <v>88</v>
      </c>
      <c r="F221" s="362"/>
      <c r="G221" s="381"/>
    </row>
    <row r="222" spans="1:7" s="249" customFormat="1" ht="12.75">
      <c r="A222" s="285"/>
      <c r="B222" s="151" t="s">
        <v>344</v>
      </c>
      <c r="C222" s="489" t="s">
        <v>345</v>
      </c>
      <c r="D222" s="489"/>
      <c r="E222" s="489"/>
      <c r="F222" s="489"/>
      <c r="G222" s="381"/>
    </row>
    <row r="223" spans="1:7" s="249" customFormat="1" ht="25.5">
      <c r="A223" s="343">
        <f>A220+1</f>
        <v>64</v>
      </c>
      <c r="B223" s="153" t="s">
        <v>344</v>
      </c>
      <c r="C223" s="174" t="s">
        <v>346</v>
      </c>
      <c r="D223" s="175" t="s">
        <v>17</v>
      </c>
      <c r="E223" s="141"/>
      <c r="F223" s="361">
        <f>SUM(E224)</f>
        <v>36</v>
      </c>
      <c r="G223" s="381"/>
    </row>
    <row r="224" spans="1:7" s="249" customFormat="1" ht="25.5">
      <c r="A224" s="290" t="s">
        <v>107</v>
      </c>
      <c r="B224" s="251"/>
      <c r="C224" s="167" t="s">
        <v>347</v>
      </c>
      <c r="D224" s="158" t="s">
        <v>17</v>
      </c>
      <c r="E224" s="252">
        <f>chodniki!D7</f>
        <v>36</v>
      </c>
      <c r="F224" s="372"/>
      <c r="G224" s="381"/>
    </row>
    <row r="225" spans="5:9" ht="14.25">
      <c r="E225" s="249"/>
      <c r="F225" s="249"/>
      <c r="G225" s="249"/>
      <c r="H225" s="249"/>
      <c r="I225" s="249"/>
    </row>
    <row r="226" spans="5:9" ht="14.25">
      <c r="E226" s="249"/>
      <c r="F226" s="249"/>
      <c r="G226" s="249"/>
      <c r="H226" s="249"/>
      <c r="I226" s="249"/>
    </row>
    <row r="227" spans="5:7" ht="14.25">
      <c r="E227" s="249"/>
      <c r="F227" s="249"/>
      <c r="G227" s="249"/>
    </row>
    <row r="228" spans="5:7" ht="14.25">
      <c r="E228" s="249"/>
      <c r="F228" s="249"/>
      <c r="G228" s="249"/>
    </row>
    <row r="229" spans="5:7" ht="14.25">
      <c r="E229" s="249"/>
      <c r="F229" s="249"/>
      <c r="G229" s="249"/>
    </row>
    <row r="230" spans="5:7" ht="14.25">
      <c r="E230" s="249"/>
      <c r="F230" s="249"/>
      <c r="G230" s="249"/>
    </row>
    <row r="231" spans="5:7" ht="14.25">
      <c r="E231" s="249"/>
      <c r="F231" s="249"/>
      <c r="G231" s="249"/>
    </row>
    <row r="232" spans="5:7" ht="14.25">
      <c r="E232" s="249"/>
      <c r="F232" s="249"/>
      <c r="G232" s="249"/>
    </row>
    <row r="233" spans="5:7" ht="14.25">
      <c r="E233" s="249"/>
      <c r="F233" s="249"/>
      <c r="G233" s="249"/>
    </row>
    <row r="234" spans="5:7" ht="14.25">
      <c r="E234" s="249"/>
      <c r="F234" s="249"/>
      <c r="G234" s="249"/>
    </row>
    <row r="235" spans="5:7" ht="14.25">
      <c r="E235" s="249"/>
      <c r="F235" s="249"/>
      <c r="G235" s="249"/>
    </row>
    <row r="236" spans="5:7" ht="14.25">
      <c r="E236" s="249"/>
      <c r="F236" s="249"/>
      <c r="G236" s="249"/>
    </row>
    <row r="237" spans="5:7" ht="14.25">
      <c r="E237" s="10"/>
      <c r="F237" s="10"/>
      <c r="G237" s="10"/>
    </row>
    <row r="238" spans="5:7" ht="14.25">
      <c r="E238" s="10"/>
      <c r="F238" s="10"/>
      <c r="G238" s="10"/>
    </row>
    <row r="239" spans="5:7" ht="14.25">
      <c r="E239" s="10"/>
      <c r="F239" s="10"/>
      <c r="G239" s="10"/>
    </row>
    <row r="240" spans="5:7" ht="14.25">
      <c r="E240" s="10"/>
      <c r="F240" s="10"/>
      <c r="G240" s="10"/>
    </row>
    <row r="241" spans="5:7" ht="14.25">
      <c r="E241" s="10"/>
      <c r="F241" s="10"/>
      <c r="G241" s="10"/>
    </row>
    <row r="242" spans="5:7" ht="14.25">
      <c r="E242" s="10"/>
      <c r="F242" s="10"/>
      <c r="G242" s="10"/>
    </row>
    <row r="243" spans="5:7" ht="14.25">
      <c r="E243" s="10"/>
      <c r="F243" s="10"/>
      <c r="G243" s="10"/>
    </row>
    <row r="244" spans="5:7" ht="14.25">
      <c r="E244" s="10"/>
      <c r="F244" s="10"/>
      <c r="G244" s="10"/>
    </row>
    <row r="245" spans="5:7" ht="14.25">
      <c r="E245" s="10"/>
      <c r="F245" s="10"/>
      <c r="G245" s="10"/>
    </row>
    <row r="246" spans="5:7" ht="14.25">
      <c r="E246" s="10"/>
      <c r="F246" s="10"/>
      <c r="G246" s="10"/>
    </row>
    <row r="247" spans="5:7" ht="14.25">
      <c r="E247" s="10"/>
      <c r="F247" s="10"/>
      <c r="G247" s="10"/>
    </row>
    <row r="248" spans="5:7" ht="14.25">
      <c r="E248" s="10"/>
      <c r="F248" s="10"/>
      <c r="G248" s="10"/>
    </row>
    <row r="249" spans="5:7" ht="14.25">
      <c r="E249" s="10"/>
      <c r="F249" s="10"/>
      <c r="G249" s="10"/>
    </row>
    <row r="250" spans="5:7" ht="14.25">
      <c r="E250" s="10"/>
      <c r="F250" s="10"/>
      <c r="G250" s="10"/>
    </row>
    <row r="251" spans="5:7" ht="14.25">
      <c r="E251" s="10"/>
      <c r="F251" s="10"/>
      <c r="G251" s="10"/>
    </row>
    <row r="252" spans="5:7" ht="14.25">
      <c r="E252" s="10"/>
      <c r="F252" s="10"/>
      <c r="G252" s="10"/>
    </row>
    <row r="253" spans="5:7" ht="14.25">
      <c r="E253" s="10"/>
      <c r="F253" s="10"/>
      <c r="G253" s="10"/>
    </row>
    <row r="254" spans="5:7" ht="14.25">
      <c r="E254" s="10"/>
      <c r="F254" s="10"/>
      <c r="G254" s="10"/>
    </row>
    <row r="255" spans="5:7" ht="14.25">
      <c r="E255" s="10"/>
      <c r="F255" s="10"/>
      <c r="G255" s="10"/>
    </row>
    <row r="256" spans="5:7" ht="14.25">
      <c r="E256" s="10"/>
      <c r="F256" s="10"/>
      <c r="G256" s="10"/>
    </row>
    <row r="257" spans="5:7" ht="14.25">
      <c r="E257" s="10"/>
      <c r="F257" s="10"/>
      <c r="G257" s="10"/>
    </row>
    <row r="258" spans="5:7" ht="14.25">
      <c r="E258" s="10"/>
      <c r="F258" s="10"/>
      <c r="G258" s="10"/>
    </row>
    <row r="259" spans="5:7" ht="14.25">
      <c r="E259" s="10"/>
      <c r="F259" s="10"/>
      <c r="G259" s="10"/>
    </row>
    <row r="260" spans="5:7" ht="14.25">
      <c r="E260" s="10"/>
      <c r="F260" s="10"/>
      <c r="G260" s="10"/>
    </row>
    <row r="261" spans="5:7" ht="14.25">
      <c r="E261" s="10"/>
      <c r="F261" s="10"/>
      <c r="G261" s="10"/>
    </row>
    <row r="262" spans="5:7" ht="14.25">
      <c r="E262" s="10"/>
      <c r="F262" s="10"/>
      <c r="G262" s="10"/>
    </row>
    <row r="263" spans="5:7" ht="14.25">
      <c r="E263" s="10"/>
      <c r="F263" s="10"/>
      <c r="G263" s="10"/>
    </row>
    <row r="264" spans="5:7" ht="14.25">
      <c r="E264" s="10"/>
      <c r="F264" s="10"/>
      <c r="G264" s="10"/>
    </row>
    <row r="265" spans="5:7" ht="14.25">
      <c r="E265" s="10"/>
      <c r="F265" s="10"/>
      <c r="G265" s="10"/>
    </row>
    <row r="266" spans="5:7" ht="14.25">
      <c r="E266" s="10"/>
      <c r="F266" s="10"/>
      <c r="G266" s="10"/>
    </row>
    <row r="267" spans="5:7" ht="14.25">
      <c r="E267" s="10"/>
      <c r="F267" s="10"/>
      <c r="G267" s="10"/>
    </row>
    <row r="268" spans="5:7" ht="14.25">
      <c r="E268" s="10"/>
      <c r="F268" s="10"/>
      <c r="G268" s="10"/>
    </row>
    <row r="269" spans="5:7" ht="14.25">
      <c r="E269" s="10"/>
      <c r="F269" s="10"/>
      <c r="G269" s="10"/>
    </row>
    <row r="270" spans="5:7" ht="14.25">
      <c r="E270" s="10"/>
      <c r="F270" s="10"/>
      <c r="G270" s="10"/>
    </row>
    <row r="271" spans="5:7" ht="14.25">
      <c r="E271" s="10"/>
      <c r="F271" s="10"/>
      <c r="G271" s="10"/>
    </row>
    <row r="272" spans="5:7" ht="14.25">
      <c r="E272" s="10"/>
      <c r="F272" s="10"/>
      <c r="G272" s="10"/>
    </row>
    <row r="273" spans="5:7" ht="14.25">
      <c r="E273" s="10"/>
      <c r="F273" s="10"/>
      <c r="G273" s="10"/>
    </row>
    <row r="274" spans="5:7" ht="14.25">
      <c r="E274" s="10"/>
      <c r="F274" s="10"/>
      <c r="G274" s="10"/>
    </row>
    <row r="275" spans="5:7" ht="14.25">
      <c r="E275" s="10"/>
      <c r="F275" s="10"/>
      <c r="G275" s="10"/>
    </row>
    <row r="276" spans="5:7" ht="14.25">
      <c r="E276" s="10"/>
      <c r="F276" s="10"/>
      <c r="G276" s="10"/>
    </row>
    <row r="277" spans="5:7" ht="14.25">
      <c r="E277" s="10"/>
      <c r="F277" s="10"/>
      <c r="G277" s="10"/>
    </row>
    <row r="278" spans="5:7" ht="14.25">
      <c r="E278" s="10"/>
      <c r="F278" s="10"/>
      <c r="G278" s="10"/>
    </row>
    <row r="279" spans="5:7" ht="14.25">
      <c r="E279" s="10"/>
      <c r="F279" s="10"/>
      <c r="G279" s="10"/>
    </row>
    <row r="280" spans="5:7" ht="14.25">
      <c r="E280" s="10"/>
      <c r="F280" s="10"/>
      <c r="G280" s="10"/>
    </row>
    <row r="281" spans="5:7" ht="14.25">
      <c r="E281" s="10"/>
      <c r="F281" s="10"/>
      <c r="G281" s="10"/>
    </row>
    <row r="282" spans="5:7" ht="14.25">
      <c r="E282" s="10"/>
      <c r="F282" s="10"/>
      <c r="G282" s="10"/>
    </row>
    <row r="283" spans="5:7" ht="14.25">
      <c r="E283" s="10"/>
      <c r="F283" s="10"/>
      <c r="G283" s="10"/>
    </row>
    <row r="284" spans="5:7" ht="14.25">
      <c r="E284" s="10"/>
      <c r="F284" s="10"/>
      <c r="G284" s="10"/>
    </row>
    <row r="285" spans="5:7" ht="14.25">
      <c r="E285" s="10"/>
      <c r="F285" s="10"/>
      <c r="G285" s="10"/>
    </row>
    <row r="286" spans="5:7" ht="14.25">
      <c r="E286" s="10"/>
      <c r="F286" s="10"/>
      <c r="G286" s="10"/>
    </row>
    <row r="287" spans="5:7" ht="14.25">
      <c r="E287" s="10"/>
      <c r="F287" s="10"/>
      <c r="G287" s="10"/>
    </row>
    <row r="288" spans="5:7" ht="14.25">
      <c r="E288" s="10"/>
      <c r="F288" s="10"/>
      <c r="G288" s="10"/>
    </row>
    <row r="289" spans="5:7" ht="14.25">
      <c r="E289" s="10"/>
      <c r="F289" s="10"/>
      <c r="G289" s="10"/>
    </row>
    <row r="290" spans="5:7" ht="14.25">
      <c r="E290" s="10"/>
      <c r="F290" s="10"/>
      <c r="G290" s="10"/>
    </row>
    <row r="291" spans="5:7" ht="14.25">
      <c r="E291" s="10"/>
      <c r="F291" s="10"/>
      <c r="G291" s="10"/>
    </row>
  </sheetData>
  <sheetProtection/>
  <mergeCells count="42">
    <mergeCell ref="C222:F222"/>
    <mergeCell ref="C155:F155"/>
    <mergeCell ref="C214:F214"/>
    <mergeCell ref="C219:F219"/>
    <mergeCell ref="A1:F1"/>
    <mergeCell ref="A2:F3"/>
    <mergeCell ref="C5:F5"/>
    <mergeCell ref="C6:F6"/>
    <mergeCell ref="C9:F9"/>
    <mergeCell ref="F73:F77"/>
    <mergeCell ref="C24:F24"/>
    <mergeCell ref="C29:F29"/>
    <mergeCell ref="C54:F54"/>
    <mergeCell ref="C55:F55"/>
    <mergeCell ref="C71:F71"/>
    <mergeCell ref="A53:F53"/>
    <mergeCell ref="A63:F63"/>
    <mergeCell ref="A70:F70"/>
    <mergeCell ref="A164:F164"/>
    <mergeCell ref="C165:F165"/>
    <mergeCell ref="C166:F166"/>
    <mergeCell ref="F79:F81"/>
    <mergeCell ref="F82:F83"/>
    <mergeCell ref="B85:B87"/>
    <mergeCell ref="C88:F88"/>
    <mergeCell ref="C84:F84"/>
    <mergeCell ref="C111:F111"/>
    <mergeCell ref="C104:F104"/>
    <mergeCell ref="A119:F119"/>
    <mergeCell ref="C120:F120"/>
    <mergeCell ref="C159:F159"/>
    <mergeCell ref="C72:F72"/>
    <mergeCell ref="C60:F60"/>
    <mergeCell ref="C64:F64"/>
    <mergeCell ref="C65:F65"/>
    <mergeCell ref="C78:F78"/>
    <mergeCell ref="A213:F213"/>
    <mergeCell ref="A181:F181"/>
    <mergeCell ref="C182:F182"/>
    <mergeCell ref="C183:F183"/>
    <mergeCell ref="C208:F208"/>
    <mergeCell ref="C196:F196"/>
  </mergeCells>
  <printOptions horizontalCentered="1"/>
  <pageMargins left="1.1811023622047245" right="0.7874015748031497" top="0.7874015748031497" bottom="0.7874015748031497" header="0.5118110236220472" footer="0"/>
  <pageSetup fitToHeight="0" fitToWidth="1" horizontalDpi="300" verticalDpi="300" orientation="portrait" paperSize="9" scale="71" r:id="rId1"/>
  <headerFooter alignWithMargins="0">
    <oddFooter>&amp;C&amp;P</oddFooter>
  </headerFooter>
  <rowBreaks count="2" manualBreakCount="2">
    <brk id="39" max="5" man="1"/>
    <brk id="89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48"/>
  <sheetViews>
    <sheetView showGridLines="0" view="pageBreakPreview" zoomScale="130" zoomScaleSheetLayoutView="130" zoomScalePageLayoutView="0" workbookViewId="0" topLeftCell="A1">
      <selection activeCell="A1" sqref="A1:F1"/>
    </sheetView>
  </sheetViews>
  <sheetFormatPr defaultColWidth="15.7109375" defaultRowHeight="18.75" customHeight="1"/>
  <cols>
    <col min="1" max="1" width="28.28125" style="86" customWidth="1"/>
    <col min="2" max="6" width="15.7109375" style="86" customWidth="1"/>
    <col min="7" max="7" width="15.7109375" style="102" customWidth="1"/>
    <col min="8" max="16384" width="15.7109375" style="86" customWidth="1"/>
  </cols>
  <sheetData>
    <row r="1" spans="1:8" ht="37.5" customHeight="1">
      <c r="A1" s="502" t="str">
        <f>Przedmiar!A1</f>
        <v>Przebudowa drogi powiatowej nr 1715W  Bróza - Radom w 
km od ok. 17+063,93 do ok. 17+918</v>
      </c>
      <c r="B1" s="502"/>
      <c r="C1" s="502"/>
      <c r="D1" s="502"/>
      <c r="E1" s="502"/>
      <c r="F1" s="502"/>
      <c r="G1" s="213"/>
      <c r="H1" s="93"/>
    </row>
    <row r="2" spans="1:7" ht="37.5" customHeight="1">
      <c r="A2" s="538" t="s">
        <v>59</v>
      </c>
      <c r="B2" s="538"/>
      <c r="C2" s="538"/>
      <c r="D2" s="538"/>
      <c r="E2" s="538"/>
      <c r="F2" s="538"/>
      <c r="G2" s="94"/>
    </row>
    <row r="3" spans="1:7" ht="18.75" customHeight="1">
      <c r="A3" s="95"/>
      <c r="B3" s="95"/>
      <c r="C3" s="95"/>
      <c r="D3" s="95"/>
      <c r="E3" s="95"/>
      <c r="F3" s="95"/>
      <c r="G3" s="95"/>
    </row>
    <row r="4" spans="1:7" ht="51">
      <c r="A4" s="536" t="s">
        <v>89</v>
      </c>
      <c r="B4" s="536" t="s">
        <v>90</v>
      </c>
      <c r="C4" s="96" t="s">
        <v>91</v>
      </c>
      <c r="D4" s="96" t="s">
        <v>239</v>
      </c>
      <c r="E4" s="97" t="s">
        <v>92</v>
      </c>
      <c r="F4" s="97" t="s">
        <v>240</v>
      </c>
      <c r="G4" s="86"/>
    </row>
    <row r="5" spans="1:7" ht="22.5" customHeight="1">
      <c r="A5" s="537"/>
      <c r="B5" s="537"/>
      <c r="C5" s="98" t="s">
        <v>17</v>
      </c>
      <c r="D5" s="98" t="s">
        <v>17</v>
      </c>
      <c r="E5" s="99" t="s">
        <v>58</v>
      </c>
      <c r="F5" s="99" t="s">
        <v>17</v>
      </c>
      <c r="G5" s="86"/>
    </row>
    <row r="6" spans="1:7" ht="22.5" customHeight="1">
      <c r="A6" s="100" t="s">
        <v>238</v>
      </c>
      <c r="B6" s="88" t="s">
        <v>153</v>
      </c>
      <c r="C6" s="203"/>
      <c r="D6" s="203">
        <f>17492-17340.8</f>
        <v>151.200000000001</v>
      </c>
      <c r="E6" s="203"/>
      <c r="F6" s="217">
        <f>4*6</f>
        <v>24</v>
      </c>
      <c r="G6" s="86"/>
    </row>
    <row r="7" spans="1:5" s="212" customFormat="1" ht="22.5" customHeight="1">
      <c r="A7" s="100" t="s">
        <v>290</v>
      </c>
      <c r="B7" s="88" t="s">
        <v>93</v>
      </c>
      <c r="C7" s="203">
        <f>17750-17692</f>
        <v>58</v>
      </c>
      <c r="D7" s="203"/>
      <c r="E7" s="203">
        <f>C7*0.4*3</f>
        <v>69.6</v>
      </c>
    </row>
    <row r="8" spans="2:7" ht="22.5" customHeight="1">
      <c r="B8" s="91" t="s">
        <v>57</v>
      </c>
      <c r="C8" s="92">
        <f>SUM(C6:C7)</f>
        <v>58</v>
      </c>
      <c r="D8" s="92">
        <f>SUM(D6:D7)</f>
        <v>151.200000000001</v>
      </c>
      <c r="E8" s="92">
        <f>SUM(E6:E7)</f>
        <v>69.6</v>
      </c>
      <c r="F8" s="92">
        <f>SUM(F6)</f>
        <v>24</v>
      </c>
      <c r="G8" s="86"/>
    </row>
    <row r="9" spans="6:7" ht="18.75" customHeight="1">
      <c r="F9" s="102"/>
      <c r="G9" s="86"/>
    </row>
    <row r="48" ht="18.75" customHeight="1">
      <c r="G48" s="86"/>
    </row>
  </sheetData>
  <sheetProtection/>
  <mergeCells count="4">
    <mergeCell ref="A4:A5"/>
    <mergeCell ref="B4:B5"/>
    <mergeCell ref="A1:F1"/>
    <mergeCell ref="A2:F2"/>
  </mergeCells>
  <printOptions/>
  <pageMargins left="1.18125" right="0.7875" top="0.7875" bottom="0.7875" header="0.5118055555555555" footer="0.5118055555555555"/>
  <pageSetup horizontalDpi="300" verticalDpi="3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"/>
  <sheetViews>
    <sheetView showGridLines="0" view="pageBreakPreview" zoomScale="130" zoomScaleSheetLayoutView="130" zoomScalePageLayoutView="0" workbookViewId="0" topLeftCell="A16">
      <selection activeCell="A2" sqref="A2:G2"/>
    </sheetView>
  </sheetViews>
  <sheetFormatPr defaultColWidth="17.140625" defaultRowHeight="18.75" customHeight="1"/>
  <cols>
    <col min="1" max="1" width="25.7109375" style="57" customWidth="1"/>
    <col min="2" max="9" width="14.28125" style="57" customWidth="1"/>
    <col min="10" max="11" width="17.140625" style="104" customWidth="1"/>
    <col min="12" max="16384" width="17.140625" style="57" customWidth="1"/>
  </cols>
  <sheetData>
    <row r="1" spans="1:9" ht="31.5" customHeight="1">
      <c r="A1" s="502" t="str">
        <f>Przedmiar!A1</f>
        <v>Przebudowa drogi powiatowej nr 1715W  Bróza - Radom w 
km od ok. 17+063,93 do ok. 17+918</v>
      </c>
      <c r="B1" s="502"/>
      <c r="C1" s="502"/>
      <c r="D1" s="502"/>
      <c r="E1" s="502"/>
      <c r="F1" s="502"/>
      <c r="G1" s="502"/>
      <c r="H1" s="103"/>
      <c r="I1" s="103"/>
    </row>
    <row r="2" spans="1:9" ht="28.5" customHeight="1">
      <c r="A2" s="533" t="s">
        <v>299</v>
      </c>
      <c r="B2" s="533"/>
      <c r="C2" s="533"/>
      <c r="D2" s="533"/>
      <c r="E2" s="533"/>
      <c r="F2" s="533"/>
      <c r="G2" s="533"/>
      <c r="H2" s="105"/>
      <c r="I2" s="105"/>
    </row>
    <row r="3" spans="1:8" ht="57" customHeight="1">
      <c r="A3" s="87"/>
      <c r="B3" s="87" t="s">
        <v>134</v>
      </c>
      <c r="C3" s="87" t="s">
        <v>242</v>
      </c>
      <c r="D3" s="87" t="s">
        <v>133</v>
      </c>
      <c r="E3" s="87" t="s">
        <v>135</v>
      </c>
      <c r="F3" s="87" t="s">
        <v>144</v>
      </c>
      <c r="G3" s="87" t="s">
        <v>243</v>
      </c>
      <c r="H3" s="106"/>
    </row>
    <row r="4" spans="1:8" ht="18.75" customHeight="1">
      <c r="A4" s="87"/>
      <c r="B4" s="107" t="s">
        <v>17</v>
      </c>
      <c r="C4" s="108" t="s">
        <v>58</v>
      </c>
      <c r="D4" s="108" t="s">
        <v>58</v>
      </c>
      <c r="E4" s="108" t="s">
        <v>58</v>
      </c>
      <c r="F4" s="108" t="s">
        <v>58</v>
      </c>
      <c r="G4" s="109" t="s">
        <v>58</v>
      </c>
      <c r="H4" s="106"/>
    </row>
    <row r="5" spans="1:7" ht="25.5" customHeight="1">
      <c r="A5" s="110" t="s">
        <v>300</v>
      </c>
      <c r="B5" s="89">
        <f>(17400-17064)</f>
        <v>336</v>
      </c>
      <c r="C5" s="101">
        <f>(17400-17064)*0.5</f>
        <v>168</v>
      </c>
      <c r="D5" s="101"/>
      <c r="E5" s="101"/>
      <c r="F5" s="101">
        <f>(17400-17064)*0.5</f>
        <v>168</v>
      </c>
      <c r="G5" s="101"/>
    </row>
    <row r="6" spans="1:7" ht="25.5" customHeight="1">
      <c r="A6" s="111" t="s">
        <v>301</v>
      </c>
      <c r="B6" s="90">
        <f>1599+836</f>
        <v>2435</v>
      </c>
      <c r="C6" s="101">
        <f>(17423-17400)*0.5+(17554.8-17491.2)*0.5</f>
        <v>43.2999999999993</v>
      </c>
      <c r="D6" s="90"/>
      <c r="E6" s="101"/>
      <c r="F6" s="90"/>
      <c r="G6" s="101">
        <f>(17423-17400)*0.5+(17554.8-17491.2)*0.5</f>
        <v>43.2999999999993</v>
      </c>
    </row>
    <row r="7" spans="1:7" ht="25.5" customHeight="1">
      <c r="A7" s="145" t="s">
        <v>302</v>
      </c>
      <c r="B7" s="216"/>
      <c r="C7" s="216">
        <f>1034+360</f>
        <v>1394</v>
      </c>
      <c r="D7" s="216"/>
      <c r="E7" s="216"/>
      <c r="F7" s="216"/>
      <c r="G7" s="216">
        <f>C7</f>
        <v>1394</v>
      </c>
    </row>
    <row r="8" spans="1:7" ht="25.5" customHeight="1">
      <c r="A8" s="91" t="s">
        <v>65</v>
      </c>
      <c r="B8" s="92">
        <f>SUM(B5:B6)</f>
        <v>2771</v>
      </c>
      <c r="C8" s="92">
        <f>SUM(C5:C7)</f>
        <v>1605.3</v>
      </c>
      <c r="D8" s="92">
        <f>SUM(D5:D6)</f>
        <v>0</v>
      </c>
      <c r="E8" s="92">
        <f>SUM(E5:E6)</f>
        <v>0</v>
      </c>
      <c r="F8" s="92">
        <f>SUM(F5:F6)</f>
        <v>168</v>
      </c>
      <c r="G8" s="92">
        <f>SUM(G5:G7)</f>
        <v>1437.3</v>
      </c>
    </row>
  </sheetData>
  <sheetProtection/>
  <mergeCells count="2">
    <mergeCell ref="A1:G1"/>
    <mergeCell ref="A2:G2"/>
  </mergeCells>
  <printOptions/>
  <pageMargins left="1.18125" right="0.7875" top="0.7875" bottom="0.7875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3"/>
  <sheetViews>
    <sheetView showGridLines="0" view="pageBreakPreview" zoomScale="115" zoomScaleSheetLayoutView="115" zoomScalePageLayoutView="0" workbookViewId="0" topLeftCell="A1">
      <selection activeCell="A1" sqref="A1:I1"/>
    </sheetView>
  </sheetViews>
  <sheetFormatPr defaultColWidth="9.140625" defaultRowHeight="12.75"/>
  <cols>
    <col min="1" max="1" width="4.140625" style="27" customWidth="1"/>
    <col min="2" max="2" width="12.57421875" style="27" customWidth="1"/>
    <col min="3" max="6" width="6.8515625" style="27" customWidth="1"/>
    <col min="7" max="7" width="9.140625" style="27" customWidth="1"/>
    <col min="8" max="8" width="10.421875" style="27" customWidth="1"/>
    <col min="9" max="9" width="10.28125" style="27" customWidth="1"/>
    <col min="10" max="11" width="9.140625" style="27" customWidth="1"/>
    <col min="12" max="12" width="12.7109375" style="196" customWidth="1"/>
    <col min="13" max="13" width="12.7109375" style="27" customWidth="1"/>
    <col min="14" max="14" width="8.140625" style="27" customWidth="1"/>
    <col min="15" max="16384" width="9.140625" style="27" customWidth="1"/>
  </cols>
  <sheetData>
    <row r="1" spans="1:12" s="26" customFormat="1" ht="37.5" customHeight="1">
      <c r="A1" s="502" t="str">
        <f>Przedmiar!A1</f>
        <v>Przebudowa drogi powiatowej nr 1715W  Bróza - Radom w 
km od ok. 17+063,93 do ok. 17+918</v>
      </c>
      <c r="B1" s="502"/>
      <c r="C1" s="502"/>
      <c r="D1" s="502"/>
      <c r="E1" s="502"/>
      <c r="F1" s="502"/>
      <c r="G1" s="502"/>
      <c r="H1" s="502"/>
      <c r="I1" s="502"/>
      <c r="L1" s="195"/>
    </row>
    <row r="2" spans="1:9" ht="15.75">
      <c r="A2" s="503" t="s">
        <v>33</v>
      </c>
      <c r="B2" s="503"/>
      <c r="C2" s="503"/>
      <c r="D2" s="503"/>
      <c r="E2" s="503"/>
      <c r="F2" s="503"/>
      <c r="G2" s="503"/>
      <c r="H2" s="503"/>
      <c r="I2" s="503"/>
    </row>
    <row r="3" spans="1:9" ht="18" customHeight="1">
      <c r="A3" s="28"/>
      <c r="B3" s="28"/>
      <c r="C3" s="28"/>
      <c r="D3" s="28"/>
      <c r="E3" s="28"/>
      <c r="F3" s="28"/>
      <c r="G3" s="28"/>
      <c r="H3" s="28"/>
      <c r="I3" s="28"/>
    </row>
    <row r="4" spans="1:13" ht="14.25" customHeight="1">
      <c r="A4" s="504" t="s">
        <v>34</v>
      </c>
      <c r="B4" s="504" t="s">
        <v>35</v>
      </c>
      <c r="C4" s="505" t="s">
        <v>36</v>
      </c>
      <c r="D4" s="505"/>
      <c r="E4" s="505" t="s">
        <v>37</v>
      </c>
      <c r="F4" s="505"/>
      <c r="G4" s="506" t="s">
        <v>38</v>
      </c>
      <c r="H4" s="505" t="s">
        <v>39</v>
      </c>
      <c r="I4" s="505"/>
      <c r="M4" s="29"/>
    </row>
    <row r="5" spans="1:13" ht="14.25" customHeight="1">
      <c r="A5" s="504"/>
      <c r="B5" s="504"/>
      <c r="C5" s="505"/>
      <c r="D5" s="505"/>
      <c r="E5" s="505" t="s">
        <v>40</v>
      </c>
      <c r="F5" s="505"/>
      <c r="G5" s="506"/>
      <c r="H5" s="505"/>
      <c r="I5" s="505"/>
      <c r="M5" s="29"/>
    </row>
    <row r="6" spans="1:13" ht="14.25" customHeight="1">
      <c r="A6" s="504"/>
      <c r="B6" s="504"/>
      <c r="C6" s="30" t="s">
        <v>41</v>
      </c>
      <c r="D6" s="30" t="s">
        <v>42</v>
      </c>
      <c r="E6" s="30" t="s">
        <v>41</v>
      </c>
      <c r="F6" s="30" t="s">
        <v>42</v>
      </c>
      <c r="G6" s="506"/>
      <c r="H6" s="30" t="s">
        <v>41</v>
      </c>
      <c r="I6" s="30" t="s">
        <v>42</v>
      </c>
      <c r="M6" s="29"/>
    </row>
    <row r="7" spans="1:13" ht="14.25" customHeight="1">
      <c r="A7" s="504"/>
      <c r="B7" s="504"/>
      <c r="C7" s="30" t="s">
        <v>43</v>
      </c>
      <c r="D7" s="30" t="s">
        <v>44</v>
      </c>
      <c r="E7" s="30" t="s">
        <v>43</v>
      </c>
      <c r="F7" s="30" t="s">
        <v>44</v>
      </c>
      <c r="G7" s="506"/>
      <c r="H7" s="30" t="s">
        <v>43</v>
      </c>
      <c r="I7" s="30" t="s">
        <v>44</v>
      </c>
      <c r="M7" s="29"/>
    </row>
    <row r="8" spans="1:13" ht="14.25" customHeight="1">
      <c r="A8" s="504"/>
      <c r="B8" s="504"/>
      <c r="C8" s="505" t="s">
        <v>145</v>
      </c>
      <c r="D8" s="505"/>
      <c r="E8" s="505" t="s">
        <v>145</v>
      </c>
      <c r="F8" s="505"/>
      <c r="G8" s="30" t="s">
        <v>45</v>
      </c>
      <c r="H8" s="505" t="s">
        <v>146</v>
      </c>
      <c r="I8" s="505"/>
      <c r="K8" s="31"/>
      <c r="L8" s="197"/>
      <c r="M8" s="32"/>
    </row>
    <row r="9" spans="1:13" ht="12.75">
      <c r="A9" s="500">
        <v>183</v>
      </c>
      <c r="B9" s="507" t="s">
        <v>191</v>
      </c>
      <c r="C9" s="508">
        <v>1.4</v>
      </c>
      <c r="D9" s="508">
        <v>0</v>
      </c>
      <c r="E9" s="33"/>
      <c r="F9" s="33"/>
      <c r="G9" s="33"/>
      <c r="H9" s="33"/>
      <c r="I9" s="33"/>
      <c r="K9" s="31"/>
      <c r="L9" s="509">
        <v>17064</v>
      </c>
      <c r="M9" s="32"/>
    </row>
    <row r="10" spans="1:13" ht="12.75">
      <c r="A10" s="500"/>
      <c r="B10" s="499"/>
      <c r="C10" s="508"/>
      <c r="D10" s="508"/>
      <c r="E10" s="497">
        <f>(C11+C9)*0.5</f>
        <v>1.7</v>
      </c>
      <c r="F10" s="497">
        <f>(D11+D9)*0.5</f>
        <v>0.05</v>
      </c>
      <c r="G10" s="497">
        <f>L11-L9</f>
        <v>21.16</v>
      </c>
      <c r="H10" s="498">
        <f>E10*G10</f>
        <v>36</v>
      </c>
      <c r="I10" s="498">
        <f>F10*G10</f>
        <v>1.1</v>
      </c>
      <c r="K10" s="31"/>
      <c r="L10" s="510"/>
      <c r="M10" s="32"/>
    </row>
    <row r="11" spans="1:13" ht="12.75">
      <c r="A11" s="501">
        <v>184</v>
      </c>
      <c r="B11" s="499" t="s">
        <v>192</v>
      </c>
      <c r="C11" s="497">
        <v>2</v>
      </c>
      <c r="D11" s="497">
        <v>0.1</v>
      </c>
      <c r="E11" s="497"/>
      <c r="F11" s="497"/>
      <c r="G11" s="497"/>
      <c r="H11" s="498"/>
      <c r="I11" s="498"/>
      <c r="K11" s="31"/>
      <c r="L11" s="497">
        <v>17085.16</v>
      </c>
      <c r="M11" s="32"/>
    </row>
    <row r="12" spans="1:13" ht="12.75">
      <c r="A12" s="501"/>
      <c r="B12" s="499"/>
      <c r="C12" s="497"/>
      <c r="D12" s="497"/>
      <c r="E12" s="497">
        <f>(C13+C11)*0.5</f>
        <v>1.58</v>
      </c>
      <c r="F12" s="497">
        <f>(D13+D11)*0.5</f>
        <v>0.15</v>
      </c>
      <c r="G12" s="497">
        <f>L13-L11</f>
        <v>20.58</v>
      </c>
      <c r="H12" s="498">
        <f>E12*G12</f>
        <v>32.5</v>
      </c>
      <c r="I12" s="498">
        <f>F12*G12</f>
        <v>3.1</v>
      </c>
      <c r="K12" s="31"/>
      <c r="L12" s="497"/>
      <c r="M12" s="32"/>
    </row>
    <row r="13" spans="1:13" ht="12.75">
      <c r="A13" s="500">
        <v>185</v>
      </c>
      <c r="B13" s="499" t="s">
        <v>193</v>
      </c>
      <c r="C13" s="497">
        <v>1.15</v>
      </c>
      <c r="D13" s="497">
        <v>0.19</v>
      </c>
      <c r="E13" s="497"/>
      <c r="F13" s="497"/>
      <c r="G13" s="497"/>
      <c r="H13" s="498"/>
      <c r="I13" s="498"/>
      <c r="K13" s="31"/>
      <c r="L13" s="497">
        <v>17105.74</v>
      </c>
      <c r="M13" s="32"/>
    </row>
    <row r="14" spans="1:13" ht="12.75">
      <c r="A14" s="500"/>
      <c r="B14" s="499"/>
      <c r="C14" s="497"/>
      <c r="D14" s="497"/>
      <c r="E14" s="497">
        <f>(C15+C13)*0.5</f>
        <v>1.4</v>
      </c>
      <c r="F14" s="497">
        <f>(D15+D13)*0.5</f>
        <v>0.24</v>
      </c>
      <c r="G14" s="497">
        <f>L15-L13</f>
        <v>19.26</v>
      </c>
      <c r="H14" s="498">
        <f>E14*G14</f>
        <v>27</v>
      </c>
      <c r="I14" s="498">
        <f>F14*G14</f>
        <v>4.6</v>
      </c>
      <c r="K14" s="31"/>
      <c r="L14" s="497"/>
      <c r="M14" s="32"/>
    </row>
    <row r="15" spans="1:13" ht="12.75">
      <c r="A15" s="501">
        <v>186</v>
      </c>
      <c r="B15" s="499" t="s">
        <v>194</v>
      </c>
      <c r="C15" s="497">
        <v>1.65</v>
      </c>
      <c r="D15" s="497">
        <v>0.28</v>
      </c>
      <c r="E15" s="497"/>
      <c r="F15" s="497"/>
      <c r="G15" s="497"/>
      <c r="H15" s="498"/>
      <c r="I15" s="498"/>
      <c r="K15" s="31"/>
      <c r="L15" s="497">
        <v>17125</v>
      </c>
      <c r="M15" s="32"/>
    </row>
    <row r="16" spans="1:13" ht="12.75">
      <c r="A16" s="501"/>
      <c r="B16" s="499"/>
      <c r="C16" s="497"/>
      <c r="D16" s="497"/>
      <c r="E16" s="497">
        <f>(C17+C15)*0.5</f>
        <v>1.59</v>
      </c>
      <c r="F16" s="497">
        <f>(D17+D15)*0.5</f>
        <v>0.38</v>
      </c>
      <c r="G16" s="497">
        <f>L17-L15</f>
        <v>25</v>
      </c>
      <c r="H16" s="498">
        <f>E16*G16</f>
        <v>39.8</v>
      </c>
      <c r="I16" s="498">
        <f>F16*G16</f>
        <v>9.5</v>
      </c>
      <c r="K16" s="31"/>
      <c r="L16" s="497"/>
      <c r="M16" s="32"/>
    </row>
    <row r="17" spans="1:13" ht="12.75">
      <c r="A17" s="500">
        <v>187</v>
      </c>
      <c r="B17" s="499" t="s">
        <v>195</v>
      </c>
      <c r="C17" s="497">
        <v>1.52</v>
      </c>
      <c r="D17" s="497">
        <v>0.47</v>
      </c>
      <c r="E17" s="497"/>
      <c r="F17" s="497"/>
      <c r="G17" s="497"/>
      <c r="H17" s="498"/>
      <c r="I17" s="498"/>
      <c r="K17" s="31"/>
      <c r="L17" s="497">
        <v>17150</v>
      </c>
      <c r="M17" s="32"/>
    </row>
    <row r="18" spans="1:13" ht="12.75">
      <c r="A18" s="500"/>
      <c r="B18" s="499"/>
      <c r="C18" s="497"/>
      <c r="D18" s="497"/>
      <c r="E18" s="497">
        <f>(C19+C17)*0.5</f>
        <v>1.5</v>
      </c>
      <c r="F18" s="497">
        <f>(D19+D17)*0.5</f>
        <v>0.47</v>
      </c>
      <c r="G18" s="497">
        <f>L19-L17</f>
        <v>25</v>
      </c>
      <c r="H18" s="498">
        <f>E18*G18</f>
        <v>37.5</v>
      </c>
      <c r="I18" s="498">
        <f>F18*G18</f>
        <v>11.8</v>
      </c>
      <c r="K18" s="31"/>
      <c r="L18" s="497"/>
      <c r="M18" s="32"/>
    </row>
    <row r="19" spans="1:13" ht="12.75">
      <c r="A19" s="501">
        <v>188</v>
      </c>
      <c r="B19" s="499" t="s">
        <v>206</v>
      </c>
      <c r="C19" s="497">
        <v>1.48</v>
      </c>
      <c r="D19" s="497">
        <v>0.47</v>
      </c>
      <c r="E19" s="497"/>
      <c r="F19" s="497"/>
      <c r="G19" s="497"/>
      <c r="H19" s="498"/>
      <c r="I19" s="498"/>
      <c r="K19" s="31"/>
      <c r="L19" s="497">
        <v>17175</v>
      </c>
      <c r="M19" s="32"/>
    </row>
    <row r="20" spans="1:13" ht="12.75">
      <c r="A20" s="501"/>
      <c r="B20" s="499"/>
      <c r="C20" s="497"/>
      <c r="D20" s="497"/>
      <c r="E20" s="497">
        <f>(C21+C19)*0.5</f>
        <v>1.57</v>
      </c>
      <c r="F20" s="497">
        <f>(D21+D19)*0.5</f>
        <v>0.5</v>
      </c>
      <c r="G20" s="497">
        <f>L21-L19</f>
        <v>25</v>
      </c>
      <c r="H20" s="498">
        <f>E20*G20</f>
        <v>39.3</v>
      </c>
      <c r="I20" s="498">
        <f>F20*G20</f>
        <v>12.5</v>
      </c>
      <c r="K20" s="31"/>
      <c r="L20" s="497"/>
      <c r="M20" s="32"/>
    </row>
    <row r="21" spans="1:13" ht="12.75">
      <c r="A21" s="500">
        <v>189</v>
      </c>
      <c r="B21" s="499" t="s">
        <v>207</v>
      </c>
      <c r="C21" s="497">
        <v>1.66</v>
      </c>
      <c r="D21" s="497">
        <v>0.53</v>
      </c>
      <c r="E21" s="497"/>
      <c r="F21" s="497"/>
      <c r="G21" s="497"/>
      <c r="H21" s="498"/>
      <c r="I21" s="498"/>
      <c r="K21" s="31"/>
      <c r="L21" s="497">
        <v>17200</v>
      </c>
      <c r="M21" s="32"/>
    </row>
    <row r="22" spans="1:13" ht="12.75">
      <c r="A22" s="500"/>
      <c r="B22" s="499"/>
      <c r="C22" s="497"/>
      <c r="D22" s="497"/>
      <c r="E22" s="497">
        <f>(C23+C21)*0.5</f>
        <v>1.64</v>
      </c>
      <c r="F22" s="497">
        <f>(D23+D21)*0.5</f>
        <v>0.52</v>
      </c>
      <c r="G22" s="497">
        <f>L23-L21</f>
        <v>25</v>
      </c>
      <c r="H22" s="498">
        <f>E22*G22</f>
        <v>41</v>
      </c>
      <c r="I22" s="498">
        <f>F22*G22</f>
        <v>13</v>
      </c>
      <c r="K22" s="31"/>
      <c r="L22" s="497"/>
      <c r="M22" s="32"/>
    </row>
    <row r="23" spans="1:13" ht="12.75">
      <c r="A23" s="501">
        <v>190</v>
      </c>
      <c r="B23" s="499" t="s">
        <v>205</v>
      </c>
      <c r="C23" s="497">
        <v>1.61</v>
      </c>
      <c r="D23" s="497">
        <v>0.5</v>
      </c>
      <c r="E23" s="497"/>
      <c r="F23" s="497"/>
      <c r="G23" s="497"/>
      <c r="H23" s="498"/>
      <c r="I23" s="498"/>
      <c r="K23" s="31"/>
      <c r="L23" s="497">
        <v>17225</v>
      </c>
      <c r="M23" s="32"/>
    </row>
    <row r="24" spans="1:13" ht="12.75">
      <c r="A24" s="501"/>
      <c r="B24" s="499"/>
      <c r="C24" s="497"/>
      <c r="D24" s="497"/>
      <c r="E24" s="497">
        <f>(C25+C23)*0.5</f>
        <v>1.78</v>
      </c>
      <c r="F24" s="497">
        <f>(D25+D23)*0.5</f>
        <v>0.41</v>
      </c>
      <c r="G24" s="497">
        <f>L25-L23</f>
        <v>25</v>
      </c>
      <c r="H24" s="498">
        <f>E24*G24</f>
        <v>44.5</v>
      </c>
      <c r="I24" s="498">
        <f>F24*G24</f>
        <v>10.3</v>
      </c>
      <c r="K24" s="31"/>
      <c r="L24" s="497"/>
      <c r="M24" s="32"/>
    </row>
    <row r="25" spans="1:13" ht="12.75">
      <c r="A25" s="500">
        <v>191</v>
      </c>
      <c r="B25" s="499" t="s">
        <v>204</v>
      </c>
      <c r="C25" s="497">
        <v>1.95</v>
      </c>
      <c r="D25" s="497">
        <v>0.31</v>
      </c>
      <c r="E25" s="497"/>
      <c r="F25" s="497"/>
      <c r="G25" s="497"/>
      <c r="H25" s="498"/>
      <c r="I25" s="498"/>
      <c r="K25" s="31"/>
      <c r="L25" s="497">
        <v>17250</v>
      </c>
      <c r="M25" s="32"/>
    </row>
    <row r="26" spans="1:13" ht="12.75">
      <c r="A26" s="500"/>
      <c r="B26" s="499"/>
      <c r="C26" s="497"/>
      <c r="D26" s="497"/>
      <c r="E26" s="497">
        <f>(C27+C25)*0.5</f>
        <v>2</v>
      </c>
      <c r="F26" s="497">
        <f>(D27+D25)*0.5</f>
        <v>0.24</v>
      </c>
      <c r="G26" s="497">
        <f>L27-L25</f>
        <v>25</v>
      </c>
      <c r="H26" s="498">
        <f>E26*G26</f>
        <v>50</v>
      </c>
      <c r="I26" s="498">
        <f>F26*G26</f>
        <v>6</v>
      </c>
      <c r="K26" s="31"/>
      <c r="L26" s="497"/>
      <c r="M26" s="32"/>
    </row>
    <row r="27" spans="1:13" ht="12.75">
      <c r="A27" s="501">
        <v>192</v>
      </c>
      <c r="B27" s="499" t="s">
        <v>208</v>
      </c>
      <c r="C27" s="497">
        <v>2.05</v>
      </c>
      <c r="D27" s="497">
        <v>0.16</v>
      </c>
      <c r="E27" s="497"/>
      <c r="F27" s="497"/>
      <c r="G27" s="497"/>
      <c r="H27" s="498"/>
      <c r="I27" s="498"/>
      <c r="K27" s="31"/>
      <c r="L27" s="497">
        <v>17275</v>
      </c>
      <c r="M27" s="32"/>
    </row>
    <row r="28" spans="1:13" ht="12.75">
      <c r="A28" s="501"/>
      <c r="B28" s="499"/>
      <c r="C28" s="497"/>
      <c r="D28" s="497"/>
      <c r="E28" s="497">
        <f>(C29+C27)*0.5</f>
        <v>1.75</v>
      </c>
      <c r="F28" s="497">
        <f>(D29+D27)*0.5</f>
        <v>0.23</v>
      </c>
      <c r="G28" s="497">
        <f>L29-L27</f>
        <v>25</v>
      </c>
      <c r="H28" s="498">
        <f>E28*G28</f>
        <v>43.8</v>
      </c>
      <c r="I28" s="498">
        <f>F28*G28</f>
        <v>5.8</v>
      </c>
      <c r="K28" s="31"/>
      <c r="L28" s="497"/>
      <c r="M28" s="32"/>
    </row>
    <row r="29" spans="1:13" ht="12.75">
      <c r="A29" s="500">
        <v>193</v>
      </c>
      <c r="B29" s="499" t="s">
        <v>209</v>
      </c>
      <c r="C29" s="497">
        <v>1.45</v>
      </c>
      <c r="D29" s="497">
        <v>0.3</v>
      </c>
      <c r="E29" s="497"/>
      <c r="F29" s="497"/>
      <c r="G29" s="497"/>
      <c r="H29" s="498"/>
      <c r="I29" s="498"/>
      <c r="K29" s="31"/>
      <c r="L29" s="497">
        <v>17300</v>
      </c>
      <c r="M29" s="32"/>
    </row>
    <row r="30" spans="1:13" ht="12.75">
      <c r="A30" s="500"/>
      <c r="B30" s="499"/>
      <c r="C30" s="497"/>
      <c r="D30" s="497"/>
      <c r="E30" s="497">
        <f>(C31+C29)*0.5</f>
        <v>1.25</v>
      </c>
      <c r="F30" s="497">
        <f>(D31+D29)*0.5</f>
        <v>0.25</v>
      </c>
      <c r="G30" s="497">
        <f>L31-L29</f>
        <v>25</v>
      </c>
      <c r="H30" s="498">
        <f>E30*G30</f>
        <v>31.3</v>
      </c>
      <c r="I30" s="498">
        <f>F30*G30</f>
        <v>6.3</v>
      </c>
      <c r="K30" s="31"/>
      <c r="L30" s="497"/>
      <c r="M30" s="32"/>
    </row>
    <row r="31" spans="1:13" ht="12.75">
      <c r="A31" s="501">
        <v>194</v>
      </c>
      <c r="B31" s="499" t="s">
        <v>200</v>
      </c>
      <c r="C31" s="497">
        <v>1.05</v>
      </c>
      <c r="D31" s="497">
        <v>0.2</v>
      </c>
      <c r="E31" s="497"/>
      <c r="F31" s="497"/>
      <c r="G31" s="497"/>
      <c r="H31" s="498"/>
      <c r="I31" s="498"/>
      <c r="K31" s="31"/>
      <c r="L31" s="497">
        <v>17325</v>
      </c>
      <c r="M31" s="32"/>
    </row>
    <row r="32" spans="1:13" ht="12.75">
      <c r="A32" s="501"/>
      <c r="B32" s="499"/>
      <c r="C32" s="497"/>
      <c r="D32" s="497"/>
      <c r="E32" s="497">
        <f>(C33+C31)*0.5</f>
        <v>1.4</v>
      </c>
      <c r="F32" s="497">
        <f>(D33+D31)*0.5</f>
        <v>0.1</v>
      </c>
      <c r="G32" s="497">
        <f>L33-L31</f>
        <v>25</v>
      </c>
      <c r="H32" s="498">
        <f>E32*G32</f>
        <v>35</v>
      </c>
      <c r="I32" s="498">
        <f>F32*G32</f>
        <v>2.5</v>
      </c>
      <c r="K32" s="31"/>
      <c r="L32" s="497"/>
      <c r="M32" s="32"/>
    </row>
    <row r="33" spans="1:13" ht="12.75">
      <c r="A33" s="500">
        <v>195</v>
      </c>
      <c r="B33" s="499" t="s">
        <v>199</v>
      </c>
      <c r="C33" s="497">
        <v>1.75</v>
      </c>
      <c r="D33" s="497">
        <v>0</v>
      </c>
      <c r="E33" s="497"/>
      <c r="F33" s="497"/>
      <c r="G33" s="497"/>
      <c r="H33" s="498"/>
      <c r="I33" s="498"/>
      <c r="K33" s="31"/>
      <c r="L33" s="497">
        <v>17350</v>
      </c>
      <c r="M33" s="32"/>
    </row>
    <row r="34" spans="1:13" ht="12.75">
      <c r="A34" s="500"/>
      <c r="B34" s="499"/>
      <c r="C34" s="497"/>
      <c r="D34" s="497"/>
      <c r="E34" s="497">
        <f>(C35+C33)*0.5</f>
        <v>1.76</v>
      </c>
      <c r="F34" s="497">
        <f>(D35+D33)*0.5</f>
        <v>0.1</v>
      </c>
      <c r="G34" s="497">
        <f>L35-L33</f>
        <v>25</v>
      </c>
      <c r="H34" s="498">
        <f>E34*G34</f>
        <v>44</v>
      </c>
      <c r="I34" s="498">
        <f>F34*G34</f>
        <v>2.5</v>
      </c>
      <c r="K34" s="31"/>
      <c r="L34" s="497"/>
      <c r="M34" s="32"/>
    </row>
    <row r="35" spans="1:13" ht="12.75">
      <c r="A35" s="501">
        <v>196</v>
      </c>
      <c r="B35" s="499" t="s">
        <v>198</v>
      </c>
      <c r="C35" s="497">
        <v>1.76</v>
      </c>
      <c r="D35" s="497">
        <v>0.19</v>
      </c>
      <c r="E35" s="497"/>
      <c r="F35" s="497"/>
      <c r="G35" s="497"/>
      <c r="H35" s="498"/>
      <c r="I35" s="498"/>
      <c r="K35" s="31"/>
      <c r="L35" s="497">
        <v>17375</v>
      </c>
      <c r="M35" s="32"/>
    </row>
    <row r="36" spans="1:13" ht="12.75">
      <c r="A36" s="501"/>
      <c r="B36" s="499"/>
      <c r="C36" s="497"/>
      <c r="D36" s="497"/>
      <c r="E36" s="497">
        <f>(C37+C35)*0.5</f>
        <v>1.82</v>
      </c>
      <c r="F36" s="497">
        <f>(D37+D35)*0.5</f>
        <v>0.28</v>
      </c>
      <c r="G36" s="497">
        <f>L37-L35</f>
        <v>25</v>
      </c>
      <c r="H36" s="498">
        <f>E36*G36</f>
        <v>45.5</v>
      </c>
      <c r="I36" s="498">
        <f>F36*G36</f>
        <v>7</v>
      </c>
      <c r="K36" s="31"/>
      <c r="L36" s="497"/>
      <c r="M36" s="32"/>
    </row>
    <row r="37" spans="1:13" ht="12.75">
      <c r="A37" s="500">
        <v>197</v>
      </c>
      <c r="B37" s="499" t="s">
        <v>210</v>
      </c>
      <c r="C37" s="497">
        <v>1.88</v>
      </c>
      <c r="D37" s="497">
        <v>0.37</v>
      </c>
      <c r="E37" s="497"/>
      <c r="F37" s="497"/>
      <c r="G37" s="497"/>
      <c r="H37" s="498"/>
      <c r="I37" s="498"/>
      <c r="K37" s="31"/>
      <c r="L37" s="497">
        <v>17400</v>
      </c>
      <c r="M37" s="32"/>
    </row>
    <row r="38" spans="1:13" ht="12.75">
      <c r="A38" s="500"/>
      <c r="B38" s="499"/>
      <c r="C38" s="497"/>
      <c r="D38" s="497"/>
      <c r="E38" s="497">
        <f>(C39+C37)*0.5</f>
        <v>1.49</v>
      </c>
      <c r="F38" s="497">
        <f>(D39+D37)*0.5</f>
        <v>0.59</v>
      </c>
      <c r="G38" s="497">
        <f>L39-L37</f>
        <v>25</v>
      </c>
      <c r="H38" s="498">
        <f>E38*G38</f>
        <v>37.3</v>
      </c>
      <c r="I38" s="498">
        <f>F38*G38</f>
        <v>14.8</v>
      </c>
      <c r="K38" s="31"/>
      <c r="L38" s="497"/>
      <c r="M38" s="32"/>
    </row>
    <row r="39" spans="1:13" ht="12.75">
      <c r="A39" s="501">
        <v>198</v>
      </c>
      <c r="B39" s="499" t="s">
        <v>197</v>
      </c>
      <c r="C39" s="497">
        <v>1.09</v>
      </c>
      <c r="D39" s="497">
        <v>0.81</v>
      </c>
      <c r="E39" s="497"/>
      <c r="F39" s="497"/>
      <c r="G39" s="497"/>
      <c r="H39" s="498"/>
      <c r="I39" s="498"/>
      <c r="K39" s="31"/>
      <c r="L39" s="497">
        <v>17425</v>
      </c>
      <c r="M39" s="32"/>
    </row>
    <row r="40" spans="1:13" ht="12.75">
      <c r="A40" s="501"/>
      <c r="B40" s="499"/>
      <c r="C40" s="497"/>
      <c r="D40" s="497"/>
      <c r="E40" s="497">
        <f>(C41+C39)*0.5</f>
        <v>0.88</v>
      </c>
      <c r="F40" s="497">
        <f>(D41+D39)*0.5</f>
        <v>0.71</v>
      </c>
      <c r="G40" s="497">
        <f>L41-L39</f>
        <v>25</v>
      </c>
      <c r="H40" s="498">
        <f>E40*G40</f>
        <v>22</v>
      </c>
      <c r="I40" s="498">
        <f>F40*G40</f>
        <v>17.8</v>
      </c>
      <c r="K40" s="31"/>
      <c r="L40" s="497"/>
      <c r="M40" s="32"/>
    </row>
    <row r="41" spans="1:13" ht="12.75">
      <c r="A41" s="500">
        <v>199</v>
      </c>
      <c r="B41" s="499" t="s">
        <v>196</v>
      </c>
      <c r="C41" s="497">
        <v>0.67</v>
      </c>
      <c r="D41" s="497">
        <v>0.6</v>
      </c>
      <c r="E41" s="497"/>
      <c r="F41" s="497"/>
      <c r="G41" s="497"/>
      <c r="H41" s="498"/>
      <c r="I41" s="498"/>
      <c r="K41" s="31"/>
      <c r="L41" s="497">
        <v>17450</v>
      </c>
      <c r="M41" s="32"/>
    </row>
    <row r="42" spans="1:13" ht="12.75">
      <c r="A42" s="500"/>
      <c r="B42" s="499"/>
      <c r="C42" s="497"/>
      <c r="D42" s="497"/>
      <c r="E42" s="497">
        <f>(C43+C41)*0.5</f>
        <v>0.78</v>
      </c>
      <c r="F42" s="497">
        <f>(D43+D41)*0.5</f>
        <v>0.55</v>
      </c>
      <c r="G42" s="497">
        <f>L43-L41</f>
        <v>25</v>
      </c>
      <c r="H42" s="498">
        <f>E42*G42</f>
        <v>19.5</v>
      </c>
      <c r="I42" s="498">
        <f>F42*G42</f>
        <v>13.8</v>
      </c>
      <c r="K42" s="31"/>
      <c r="L42" s="497"/>
      <c r="M42" s="32"/>
    </row>
    <row r="43" spans="1:13" ht="12.75">
      <c r="A43" s="501">
        <v>200</v>
      </c>
      <c r="B43" s="499" t="s">
        <v>211</v>
      </c>
      <c r="C43" s="497">
        <v>0.88</v>
      </c>
      <c r="D43" s="497">
        <v>0.49</v>
      </c>
      <c r="E43" s="497"/>
      <c r="F43" s="497"/>
      <c r="G43" s="497"/>
      <c r="H43" s="498"/>
      <c r="I43" s="498"/>
      <c r="K43" s="31"/>
      <c r="L43" s="497">
        <v>17475</v>
      </c>
      <c r="M43" s="32"/>
    </row>
    <row r="44" spans="1:13" ht="12.75">
      <c r="A44" s="501"/>
      <c r="B44" s="499"/>
      <c r="C44" s="497"/>
      <c r="D44" s="497"/>
      <c r="E44" s="497">
        <f>(C45+C43)*0.5</f>
        <v>0.63</v>
      </c>
      <c r="F44" s="497">
        <f>(D45+D43)*0.5</f>
        <v>0.31</v>
      </c>
      <c r="G44" s="497">
        <f>L45-L43</f>
        <v>15.24</v>
      </c>
      <c r="H44" s="498">
        <f>E44*G44</f>
        <v>9.6</v>
      </c>
      <c r="I44" s="498">
        <f>F44*G44</f>
        <v>4.7</v>
      </c>
      <c r="K44" s="31"/>
      <c r="L44" s="497"/>
      <c r="M44" s="32"/>
    </row>
    <row r="45" spans="1:13" ht="12.75">
      <c r="A45" s="500">
        <v>201</v>
      </c>
      <c r="B45" s="499" t="s">
        <v>212</v>
      </c>
      <c r="C45" s="497">
        <v>0.38</v>
      </c>
      <c r="D45" s="497">
        <v>0.13</v>
      </c>
      <c r="E45" s="497"/>
      <c r="F45" s="497"/>
      <c r="G45" s="497"/>
      <c r="H45" s="498"/>
      <c r="I45" s="498"/>
      <c r="K45" s="31"/>
      <c r="L45" s="497">
        <v>17490.24</v>
      </c>
      <c r="M45" s="32"/>
    </row>
    <row r="46" spans="1:13" ht="12.75">
      <c r="A46" s="500"/>
      <c r="B46" s="499"/>
      <c r="C46" s="497"/>
      <c r="D46" s="497"/>
      <c r="E46" s="497">
        <f>(C47+C45)*0.5</f>
        <v>0.77</v>
      </c>
      <c r="F46" s="497">
        <f>(D47+D45)*0.5</f>
        <v>0.2</v>
      </c>
      <c r="G46" s="497">
        <f>L47-L45</f>
        <v>18.97</v>
      </c>
      <c r="H46" s="498">
        <f>E46*G46</f>
        <v>14.6</v>
      </c>
      <c r="I46" s="498">
        <f>F46*G46</f>
        <v>3.8</v>
      </c>
      <c r="K46" s="31"/>
      <c r="L46" s="497"/>
      <c r="M46" s="32"/>
    </row>
    <row r="47" spans="1:13" ht="12.75">
      <c r="A47" s="501">
        <v>202</v>
      </c>
      <c r="B47" s="499" t="s">
        <v>203</v>
      </c>
      <c r="C47" s="497">
        <v>1.16</v>
      </c>
      <c r="D47" s="497">
        <v>0.26</v>
      </c>
      <c r="E47" s="497"/>
      <c r="F47" s="497"/>
      <c r="G47" s="497"/>
      <c r="H47" s="498"/>
      <c r="I47" s="498"/>
      <c r="K47" s="31"/>
      <c r="L47" s="497">
        <v>17509.21</v>
      </c>
      <c r="M47" s="32"/>
    </row>
    <row r="48" spans="1:13" ht="12.75">
      <c r="A48" s="501"/>
      <c r="B48" s="499"/>
      <c r="C48" s="497"/>
      <c r="D48" s="497"/>
      <c r="E48" s="497">
        <f>(C49+C47)*0.5</f>
        <v>1.42</v>
      </c>
      <c r="F48" s="497">
        <f>(D49+D47)*0.5</f>
        <v>0.33</v>
      </c>
      <c r="G48" s="497">
        <f>L49-L47</f>
        <v>18.95</v>
      </c>
      <c r="H48" s="498">
        <f>E48*G48</f>
        <v>26.9</v>
      </c>
      <c r="I48" s="498">
        <f>F48*G48</f>
        <v>6.3</v>
      </c>
      <c r="K48" s="31"/>
      <c r="L48" s="497"/>
      <c r="M48" s="32"/>
    </row>
    <row r="49" spans="1:13" ht="12.75">
      <c r="A49" s="500">
        <v>203</v>
      </c>
      <c r="B49" s="499" t="s">
        <v>202</v>
      </c>
      <c r="C49" s="497">
        <v>1.68</v>
      </c>
      <c r="D49" s="497">
        <v>0.4</v>
      </c>
      <c r="E49" s="497"/>
      <c r="F49" s="497"/>
      <c r="G49" s="497"/>
      <c r="H49" s="498"/>
      <c r="I49" s="498"/>
      <c r="K49" s="31"/>
      <c r="L49" s="497">
        <v>17528.16</v>
      </c>
      <c r="M49" s="32"/>
    </row>
    <row r="50" spans="1:13" ht="12.75">
      <c r="A50" s="500"/>
      <c r="B50" s="499"/>
      <c r="C50" s="497"/>
      <c r="D50" s="497"/>
      <c r="E50" s="497">
        <f>(C51+C49)*0.5</f>
        <v>1.39</v>
      </c>
      <c r="F50" s="497">
        <f>(D51+D49)*0.5</f>
        <v>0.41</v>
      </c>
      <c r="G50" s="497">
        <f>L51-L49</f>
        <v>21.84</v>
      </c>
      <c r="H50" s="498">
        <f>E50*G50</f>
        <v>30.4</v>
      </c>
      <c r="I50" s="498">
        <f>F50*G50</f>
        <v>9</v>
      </c>
      <c r="K50" s="31"/>
      <c r="L50" s="497"/>
      <c r="M50" s="32"/>
    </row>
    <row r="51" spans="1:13" ht="12.75">
      <c r="A51" s="501">
        <v>204</v>
      </c>
      <c r="B51" s="499" t="s">
        <v>201</v>
      </c>
      <c r="C51" s="497">
        <v>1.09</v>
      </c>
      <c r="D51" s="497">
        <v>0.41</v>
      </c>
      <c r="E51" s="497"/>
      <c r="F51" s="497"/>
      <c r="G51" s="497"/>
      <c r="H51" s="498"/>
      <c r="I51" s="498"/>
      <c r="K51" s="31"/>
      <c r="L51" s="497">
        <v>17550</v>
      </c>
      <c r="M51" s="32"/>
    </row>
    <row r="52" spans="1:13" ht="12.75">
      <c r="A52" s="501"/>
      <c r="B52" s="499"/>
      <c r="C52" s="497"/>
      <c r="D52" s="497"/>
      <c r="E52" s="497">
        <f>(C53+C51)*0.5</f>
        <v>0.84</v>
      </c>
      <c r="F52" s="497">
        <f>(D53+D51)*0.5</f>
        <v>0.45</v>
      </c>
      <c r="G52" s="497">
        <f>L53-L51</f>
        <v>25</v>
      </c>
      <c r="H52" s="498">
        <f>E52*G52</f>
        <v>21</v>
      </c>
      <c r="I52" s="498">
        <f>F52*G52</f>
        <v>11.3</v>
      </c>
      <c r="K52" s="31"/>
      <c r="L52" s="497"/>
      <c r="M52" s="32"/>
    </row>
    <row r="53" spans="1:13" ht="12.75">
      <c r="A53" s="500">
        <v>205</v>
      </c>
      <c r="B53" s="499" t="s">
        <v>213</v>
      </c>
      <c r="C53" s="497">
        <v>0.59</v>
      </c>
      <c r="D53" s="497">
        <v>0.49</v>
      </c>
      <c r="E53" s="497"/>
      <c r="F53" s="497"/>
      <c r="G53" s="497"/>
      <c r="H53" s="498"/>
      <c r="I53" s="498"/>
      <c r="K53" s="31"/>
      <c r="L53" s="497">
        <v>17575</v>
      </c>
      <c r="M53" s="32"/>
    </row>
    <row r="54" spans="1:13" ht="12.75">
      <c r="A54" s="500"/>
      <c r="B54" s="499"/>
      <c r="C54" s="497"/>
      <c r="D54" s="497"/>
      <c r="E54" s="497">
        <f>(C55+C53)*0.5</f>
        <v>0.77</v>
      </c>
      <c r="F54" s="497">
        <f>(D55+D53)*0.5</f>
        <v>0.48</v>
      </c>
      <c r="G54" s="497">
        <f>L55-L53</f>
        <v>25</v>
      </c>
      <c r="H54" s="498">
        <f>E54*G54</f>
        <v>19.3</v>
      </c>
      <c r="I54" s="498">
        <f>F54*G54</f>
        <v>12</v>
      </c>
      <c r="K54" s="31"/>
      <c r="L54" s="497"/>
      <c r="M54" s="32"/>
    </row>
    <row r="55" spans="1:13" ht="12.75">
      <c r="A55" s="501">
        <v>206</v>
      </c>
      <c r="B55" s="499" t="s">
        <v>214</v>
      </c>
      <c r="C55" s="497">
        <v>0.94</v>
      </c>
      <c r="D55" s="497">
        <v>0.47</v>
      </c>
      <c r="E55" s="497"/>
      <c r="F55" s="497"/>
      <c r="G55" s="497"/>
      <c r="H55" s="498"/>
      <c r="I55" s="498"/>
      <c r="K55" s="31"/>
      <c r="L55" s="497">
        <v>17600</v>
      </c>
      <c r="M55" s="32"/>
    </row>
    <row r="56" spans="1:13" ht="12.75">
      <c r="A56" s="501"/>
      <c r="B56" s="499"/>
      <c r="C56" s="497"/>
      <c r="D56" s="497"/>
      <c r="E56" s="497">
        <f>(C57+C55)*0.5</f>
        <v>0.88</v>
      </c>
      <c r="F56" s="497">
        <f>(D57+D55)*0.5</f>
        <v>0.51</v>
      </c>
      <c r="G56" s="497">
        <f>L57-L55</f>
        <v>25</v>
      </c>
      <c r="H56" s="498">
        <f>E56*G56</f>
        <v>22</v>
      </c>
      <c r="I56" s="498">
        <f>F56*G56</f>
        <v>12.8</v>
      </c>
      <c r="K56" s="31"/>
      <c r="L56" s="497"/>
      <c r="M56" s="32"/>
    </row>
    <row r="57" spans="1:13" ht="12.75">
      <c r="A57" s="500">
        <v>207</v>
      </c>
      <c r="B57" s="499" t="s">
        <v>215</v>
      </c>
      <c r="C57" s="497">
        <v>0.82</v>
      </c>
      <c r="D57" s="497">
        <v>0.55</v>
      </c>
      <c r="E57" s="497"/>
      <c r="F57" s="497"/>
      <c r="G57" s="497"/>
      <c r="H57" s="498"/>
      <c r="I57" s="498"/>
      <c r="K57" s="31"/>
      <c r="L57" s="497">
        <v>17625</v>
      </c>
      <c r="M57" s="32"/>
    </row>
    <row r="58" spans="1:13" ht="12.75">
      <c r="A58" s="500"/>
      <c r="B58" s="499"/>
      <c r="C58" s="497"/>
      <c r="D58" s="497"/>
      <c r="E58" s="497">
        <f>(C59+C57)*0.5</f>
        <v>0.89</v>
      </c>
      <c r="F58" s="497">
        <f>(D59+D57)*0.5</f>
        <v>0.6</v>
      </c>
      <c r="G58" s="497">
        <f>L59-L57</f>
        <v>25</v>
      </c>
      <c r="H58" s="498">
        <f>E58*G58</f>
        <v>22.3</v>
      </c>
      <c r="I58" s="498">
        <f>F58*G58</f>
        <v>15</v>
      </c>
      <c r="K58" s="31"/>
      <c r="L58" s="497"/>
      <c r="M58" s="32"/>
    </row>
    <row r="59" spans="1:13" ht="12.75">
      <c r="A59" s="501">
        <v>208</v>
      </c>
      <c r="B59" s="499" t="s">
        <v>216</v>
      </c>
      <c r="C59" s="497">
        <v>0.95</v>
      </c>
      <c r="D59" s="497">
        <v>0.65</v>
      </c>
      <c r="E59" s="497"/>
      <c r="F59" s="497"/>
      <c r="G59" s="497"/>
      <c r="H59" s="498"/>
      <c r="I59" s="498"/>
      <c r="K59" s="31"/>
      <c r="L59" s="497">
        <v>17650</v>
      </c>
      <c r="M59" s="32"/>
    </row>
    <row r="60" spans="1:13" ht="12.75">
      <c r="A60" s="501"/>
      <c r="B60" s="499"/>
      <c r="C60" s="497"/>
      <c r="D60" s="497"/>
      <c r="E60" s="497">
        <f>(C61+C59)*0.5</f>
        <v>0.78</v>
      </c>
      <c r="F60" s="497">
        <f>(D61+D59)*0.5</f>
        <v>0.9</v>
      </c>
      <c r="G60" s="497">
        <f>L61-L59</f>
        <v>25</v>
      </c>
      <c r="H60" s="498">
        <f>E60*G60</f>
        <v>19.5</v>
      </c>
      <c r="I60" s="498">
        <f>F60*G60</f>
        <v>22.5</v>
      </c>
      <c r="K60" s="31"/>
      <c r="L60" s="497"/>
      <c r="M60" s="32"/>
    </row>
    <row r="61" spans="1:13" ht="12.75">
      <c r="A61" s="500">
        <v>209</v>
      </c>
      <c r="B61" s="499" t="s">
        <v>217</v>
      </c>
      <c r="C61" s="497">
        <v>0.6</v>
      </c>
      <c r="D61" s="497">
        <v>1.14</v>
      </c>
      <c r="E61" s="497"/>
      <c r="F61" s="497"/>
      <c r="G61" s="497"/>
      <c r="H61" s="498"/>
      <c r="I61" s="498"/>
      <c r="K61" s="31"/>
      <c r="L61" s="497">
        <v>17675</v>
      </c>
      <c r="M61" s="32"/>
    </row>
    <row r="62" spans="1:13" ht="12.75">
      <c r="A62" s="500"/>
      <c r="B62" s="499"/>
      <c r="C62" s="497"/>
      <c r="D62" s="497"/>
      <c r="E62" s="497">
        <f>(C63+C61)*0.5</f>
        <v>0.56</v>
      </c>
      <c r="F62" s="497">
        <f>(D63+D61)*0.5</f>
        <v>1.22</v>
      </c>
      <c r="G62" s="497">
        <f>L63-L61</f>
        <v>25</v>
      </c>
      <c r="H62" s="498">
        <f>E62*G62</f>
        <v>14</v>
      </c>
      <c r="I62" s="498">
        <f>F62*G62</f>
        <v>30.5</v>
      </c>
      <c r="K62" s="31"/>
      <c r="L62" s="497"/>
      <c r="M62" s="32"/>
    </row>
    <row r="63" spans="1:13" ht="12.75">
      <c r="A63" s="501">
        <v>210</v>
      </c>
      <c r="B63" s="499" t="s">
        <v>218</v>
      </c>
      <c r="C63" s="497">
        <v>0.51</v>
      </c>
      <c r="D63" s="497">
        <v>1.3</v>
      </c>
      <c r="E63" s="497"/>
      <c r="F63" s="497"/>
      <c r="G63" s="497"/>
      <c r="H63" s="498"/>
      <c r="I63" s="498"/>
      <c r="K63" s="31"/>
      <c r="L63" s="497">
        <v>17700</v>
      </c>
      <c r="M63" s="32"/>
    </row>
    <row r="64" spans="1:13" ht="12.75">
      <c r="A64" s="501"/>
      <c r="B64" s="499"/>
      <c r="C64" s="497"/>
      <c r="D64" s="497"/>
      <c r="E64" s="497">
        <f>(C65+C63)*0.5</f>
        <v>1.33</v>
      </c>
      <c r="F64" s="497">
        <f>(D65+D63)*0.5</f>
        <v>1.04</v>
      </c>
      <c r="G64" s="497">
        <f>L65-L63</f>
        <v>25.04</v>
      </c>
      <c r="H64" s="498">
        <f>E64*G64</f>
        <v>33.3</v>
      </c>
      <c r="I64" s="498">
        <f>F64*G64</f>
        <v>26</v>
      </c>
      <c r="K64" s="31"/>
      <c r="L64" s="497"/>
      <c r="M64" s="32"/>
    </row>
    <row r="65" spans="1:13" ht="12.75">
      <c r="A65" s="500">
        <v>211</v>
      </c>
      <c r="B65" s="511" t="s">
        <v>270</v>
      </c>
      <c r="C65" s="497">
        <v>2.14</v>
      </c>
      <c r="D65" s="497">
        <v>0.78</v>
      </c>
      <c r="E65" s="497"/>
      <c r="F65" s="497"/>
      <c r="G65" s="497"/>
      <c r="H65" s="498"/>
      <c r="I65" s="498"/>
      <c r="K65" s="31"/>
      <c r="L65" s="497">
        <v>17725.04</v>
      </c>
      <c r="M65" s="32"/>
    </row>
    <row r="66" spans="1:13" ht="12.75">
      <c r="A66" s="500"/>
      <c r="B66" s="512"/>
      <c r="C66" s="497"/>
      <c r="D66" s="497"/>
      <c r="E66" s="497">
        <f>(C67+C65)*0.5</f>
        <v>2.56</v>
      </c>
      <c r="F66" s="497">
        <f>(D67+D65)*0.5</f>
        <v>0.73</v>
      </c>
      <c r="G66" s="497">
        <f>L67-L65</f>
        <v>24.96</v>
      </c>
      <c r="H66" s="498">
        <f>E66*G66</f>
        <v>63.9</v>
      </c>
      <c r="I66" s="498">
        <f>F66*G66</f>
        <v>18.2</v>
      </c>
      <c r="K66" s="31"/>
      <c r="L66" s="497"/>
      <c r="M66" s="32"/>
    </row>
    <row r="67" spans="1:13" ht="12.75">
      <c r="A67" s="501">
        <v>212</v>
      </c>
      <c r="B67" s="511" t="s">
        <v>271</v>
      </c>
      <c r="C67" s="497">
        <v>2.97</v>
      </c>
      <c r="D67" s="497">
        <v>0.68</v>
      </c>
      <c r="E67" s="497"/>
      <c r="F67" s="497"/>
      <c r="G67" s="497"/>
      <c r="H67" s="498"/>
      <c r="I67" s="498"/>
      <c r="K67" s="31"/>
      <c r="L67" s="497">
        <v>17750</v>
      </c>
      <c r="M67" s="32"/>
    </row>
    <row r="68" spans="1:13" ht="12.75">
      <c r="A68" s="501"/>
      <c r="B68" s="512"/>
      <c r="C68" s="497"/>
      <c r="D68" s="497"/>
      <c r="E68" s="497">
        <f>(C69+C67)*0.5</f>
        <v>3.31</v>
      </c>
      <c r="F68" s="497">
        <f>(D69+D67)*0.5</f>
        <v>0.74</v>
      </c>
      <c r="G68" s="497">
        <f>L69-L67</f>
        <v>25</v>
      </c>
      <c r="H68" s="498">
        <f>E68*G68</f>
        <v>82.8</v>
      </c>
      <c r="I68" s="498">
        <f>F68*G68</f>
        <v>18.5</v>
      </c>
      <c r="K68" s="31"/>
      <c r="L68" s="497"/>
      <c r="M68" s="32"/>
    </row>
    <row r="69" spans="1:13" ht="12.75">
      <c r="A69" s="500">
        <v>213</v>
      </c>
      <c r="B69" s="499" t="s">
        <v>272</v>
      </c>
      <c r="C69" s="497">
        <v>3.64</v>
      </c>
      <c r="D69" s="497">
        <v>0.8</v>
      </c>
      <c r="E69" s="497"/>
      <c r="F69" s="497"/>
      <c r="G69" s="497"/>
      <c r="H69" s="498"/>
      <c r="I69" s="498"/>
      <c r="K69" s="31"/>
      <c r="L69" s="497">
        <v>17775</v>
      </c>
      <c r="M69" s="32"/>
    </row>
    <row r="70" spans="1:13" ht="10.5" customHeight="1">
      <c r="A70" s="500"/>
      <c r="B70" s="499"/>
      <c r="C70" s="497"/>
      <c r="D70" s="497"/>
      <c r="E70" s="497">
        <f>(C71+C69)*0.5</f>
        <v>4.25</v>
      </c>
      <c r="F70" s="497">
        <f>(D71+D69)*0.5</f>
        <v>0.72</v>
      </c>
      <c r="G70" s="497">
        <f>L71-L69</f>
        <v>25</v>
      </c>
      <c r="H70" s="498">
        <f>E70*G70</f>
        <v>106.3</v>
      </c>
      <c r="I70" s="498">
        <f>F70*G70</f>
        <v>18</v>
      </c>
      <c r="K70" s="31"/>
      <c r="L70" s="497"/>
      <c r="M70" s="32"/>
    </row>
    <row r="71" spans="1:13" ht="12.75">
      <c r="A71" s="501">
        <v>214</v>
      </c>
      <c r="B71" s="499" t="s">
        <v>273</v>
      </c>
      <c r="C71" s="497">
        <v>4.86</v>
      </c>
      <c r="D71" s="497">
        <v>0.63</v>
      </c>
      <c r="E71" s="497"/>
      <c r="F71" s="497"/>
      <c r="G71" s="497"/>
      <c r="H71" s="498"/>
      <c r="I71" s="498"/>
      <c r="K71" s="31"/>
      <c r="L71" s="497">
        <v>17800</v>
      </c>
      <c r="M71" s="32"/>
    </row>
    <row r="72" spans="1:13" ht="12.75">
      <c r="A72" s="501"/>
      <c r="B72" s="499"/>
      <c r="C72" s="497"/>
      <c r="D72" s="497"/>
      <c r="E72" s="497">
        <f>(C73+C71)*0.5</f>
        <v>5.15</v>
      </c>
      <c r="F72" s="497">
        <f>(D73+D71)*0.5</f>
        <v>0.61</v>
      </c>
      <c r="G72" s="497">
        <f>L73-L71</f>
        <v>25</v>
      </c>
      <c r="H72" s="498">
        <f>E72*G72</f>
        <v>128.8</v>
      </c>
      <c r="I72" s="498">
        <f>F72*G72</f>
        <v>15.3</v>
      </c>
      <c r="K72" s="31"/>
      <c r="L72" s="497"/>
      <c r="M72" s="32"/>
    </row>
    <row r="73" spans="1:13" ht="12.75">
      <c r="A73" s="500">
        <v>215</v>
      </c>
      <c r="B73" s="499" t="s">
        <v>274</v>
      </c>
      <c r="C73" s="497">
        <v>5.44</v>
      </c>
      <c r="D73" s="497">
        <v>0.58</v>
      </c>
      <c r="E73" s="497"/>
      <c r="F73" s="497"/>
      <c r="G73" s="497"/>
      <c r="H73" s="498"/>
      <c r="I73" s="498"/>
      <c r="K73" s="31"/>
      <c r="L73" s="497">
        <v>17825</v>
      </c>
      <c r="M73" s="32"/>
    </row>
    <row r="74" spans="1:13" ht="12.75">
      <c r="A74" s="500"/>
      <c r="B74" s="499"/>
      <c r="C74" s="497"/>
      <c r="D74" s="497"/>
      <c r="E74" s="497">
        <f>(C75+C73)*0.5</f>
        <v>5.29</v>
      </c>
      <c r="F74" s="497">
        <f>(D75+D73)*0.5</f>
        <v>0.59</v>
      </c>
      <c r="G74" s="497">
        <f>L75-L73</f>
        <v>25</v>
      </c>
      <c r="H74" s="498">
        <f>E74*G74</f>
        <v>132.3</v>
      </c>
      <c r="I74" s="498">
        <f>F74*G74</f>
        <v>14.8</v>
      </c>
      <c r="K74" s="31"/>
      <c r="L74" s="497"/>
      <c r="M74" s="32"/>
    </row>
    <row r="75" spans="1:13" ht="12.75">
      <c r="A75" s="501">
        <v>216</v>
      </c>
      <c r="B75" s="499" t="s">
        <v>275</v>
      </c>
      <c r="C75" s="497">
        <v>5.14</v>
      </c>
      <c r="D75" s="497">
        <v>0.6</v>
      </c>
      <c r="E75" s="497"/>
      <c r="F75" s="497"/>
      <c r="G75" s="497"/>
      <c r="H75" s="498"/>
      <c r="I75" s="498"/>
      <c r="K75" s="31"/>
      <c r="L75" s="497">
        <v>17850</v>
      </c>
      <c r="M75" s="32"/>
    </row>
    <row r="76" spans="1:13" ht="12.75">
      <c r="A76" s="501"/>
      <c r="B76" s="499"/>
      <c r="C76" s="497"/>
      <c r="D76" s="497"/>
      <c r="E76" s="497">
        <f>(C77+C75)*0.5</f>
        <v>4.77</v>
      </c>
      <c r="F76" s="497">
        <f>(D77+D75)*0.5</f>
        <v>0.89</v>
      </c>
      <c r="G76" s="497">
        <f>L77-L75</f>
        <v>25</v>
      </c>
      <c r="H76" s="498">
        <f>E76*G76</f>
        <v>119.3</v>
      </c>
      <c r="I76" s="498">
        <f>F76*G76</f>
        <v>22.3</v>
      </c>
      <c r="K76" s="31"/>
      <c r="L76" s="497"/>
      <c r="M76" s="32"/>
    </row>
    <row r="77" spans="1:13" ht="12.75">
      <c r="A77" s="500">
        <v>217</v>
      </c>
      <c r="B77" s="499" t="s">
        <v>276</v>
      </c>
      <c r="C77" s="497">
        <v>4.4</v>
      </c>
      <c r="D77" s="497">
        <v>1.17</v>
      </c>
      <c r="E77" s="497"/>
      <c r="F77" s="497"/>
      <c r="G77" s="497"/>
      <c r="H77" s="498"/>
      <c r="I77" s="498"/>
      <c r="K77" s="31"/>
      <c r="L77" s="497">
        <v>17875</v>
      </c>
      <c r="M77" s="32"/>
    </row>
    <row r="78" spans="1:13" ht="12.75">
      <c r="A78" s="500"/>
      <c r="B78" s="499"/>
      <c r="C78" s="497"/>
      <c r="D78" s="497"/>
      <c r="E78" s="497">
        <f>(C79+C77)*0.5</f>
        <v>4.43</v>
      </c>
      <c r="F78" s="497">
        <f>(D79+D77)*0.5</f>
        <v>1.1</v>
      </c>
      <c r="G78" s="497">
        <f>L79-L77</f>
        <v>25</v>
      </c>
      <c r="H78" s="498">
        <f>E78*G78</f>
        <v>110.8</v>
      </c>
      <c r="I78" s="498">
        <f>F78*G78</f>
        <v>27.5</v>
      </c>
      <c r="K78" s="31"/>
      <c r="L78" s="497"/>
      <c r="M78" s="32"/>
    </row>
    <row r="79" spans="1:13" ht="12.75">
      <c r="A79" s="501">
        <v>218</v>
      </c>
      <c r="B79" s="499" t="s">
        <v>393</v>
      </c>
      <c r="C79" s="497">
        <v>4.45</v>
      </c>
      <c r="D79" s="497">
        <v>1.02</v>
      </c>
      <c r="E79" s="497"/>
      <c r="F79" s="497"/>
      <c r="G79" s="497"/>
      <c r="H79" s="498"/>
      <c r="I79" s="498"/>
      <c r="K79" s="31"/>
      <c r="L79" s="499">
        <v>17900</v>
      </c>
      <c r="M79" s="32"/>
    </row>
    <row r="80" spans="1:13" ht="12.75">
      <c r="A80" s="501"/>
      <c r="B80" s="499"/>
      <c r="C80" s="497"/>
      <c r="D80" s="497"/>
      <c r="E80" s="497">
        <f>(C81+C79)*0.5</f>
        <v>4.28</v>
      </c>
      <c r="F80" s="497">
        <f>(D81+D79)*0.5</f>
        <v>1.13</v>
      </c>
      <c r="G80" s="497">
        <f>L81-L79</f>
        <v>25</v>
      </c>
      <c r="H80" s="498">
        <f>E80*G80</f>
        <v>107</v>
      </c>
      <c r="I80" s="498">
        <f>F80*G80</f>
        <v>28.3</v>
      </c>
      <c r="K80" s="31"/>
      <c r="L80" s="499"/>
      <c r="M80" s="32"/>
    </row>
    <row r="81" spans="1:13" ht="12.75">
      <c r="A81" s="500">
        <v>219</v>
      </c>
      <c r="B81" s="499" t="s">
        <v>394</v>
      </c>
      <c r="C81" s="497">
        <v>4.1</v>
      </c>
      <c r="D81" s="497">
        <v>1.24</v>
      </c>
      <c r="E81" s="497"/>
      <c r="F81" s="497"/>
      <c r="G81" s="497"/>
      <c r="H81" s="498"/>
      <c r="I81" s="498"/>
      <c r="K81" s="31"/>
      <c r="L81" s="499">
        <v>17925</v>
      </c>
      <c r="M81" s="32"/>
    </row>
    <row r="82" spans="1:13" ht="12.75">
      <c r="A82" s="500"/>
      <c r="B82" s="499"/>
      <c r="C82" s="497"/>
      <c r="D82" s="497"/>
      <c r="E82" s="497">
        <f>(C83+C81)*0.5</f>
        <v>4.07</v>
      </c>
      <c r="F82" s="497">
        <f>(D83+D81)*0.5</f>
        <v>1.19</v>
      </c>
      <c r="G82" s="497">
        <f>L83-L81</f>
        <v>25</v>
      </c>
      <c r="H82" s="498">
        <f>E82*G82</f>
        <v>101.8</v>
      </c>
      <c r="I82" s="498">
        <f>F82*G82</f>
        <v>29.8</v>
      </c>
      <c r="K82" s="31"/>
      <c r="L82" s="499"/>
      <c r="M82" s="32"/>
    </row>
    <row r="83" spans="1:13" ht="12.75">
      <c r="A83" s="500">
        <v>219</v>
      </c>
      <c r="B83" s="499" t="s">
        <v>395</v>
      </c>
      <c r="C83" s="497">
        <v>4.04</v>
      </c>
      <c r="D83" s="497">
        <v>1.14</v>
      </c>
      <c r="E83" s="497"/>
      <c r="F83" s="497"/>
      <c r="G83" s="497"/>
      <c r="H83" s="498"/>
      <c r="I83" s="498"/>
      <c r="K83" s="31"/>
      <c r="L83" s="499">
        <v>17950</v>
      </c>
      <c r="M83" s="32"/>
    </row>
    <row r="84" spans="1:13" ht="12.75">
      <c r="A84" s="500"/>
      <c r="B84" s="499"/>
      <c r="C84" s="497"/>
      <c r="D84" s="497"/>
      <c r="E84" s="32"/>
      <c r="F84" s="32"/>
      <c r="G84" s="438"/>
      <c r="H84" s="439"/>
      <c r="I84" s="439"/>
      <c r="K84" s="31"/>
      <c r="L84" s="499"/>
      <c r="M84" s="32"/>
    </row>
    <row r="85" spans="1:13" ht="15.75">
      <c r="A85" s="34"/>
      <c r="B85" s="32"/>
      <c r="C85" s="32"/>
      <c r="D85" s="32"/>
      <c r="E85" s="31"/>
      <c r="F85" s="31"/>
      <c r="G85" s="35" t="s">
        <v>46</v>
      </c>
      <c r="H85" s="36">
        <f>SUM(H10:H83)</f>
        <v>1811.9</v>
      </c>
      <c r="I85" s="36">
        <f>SUM(I10:I83)</f>
        <v>489</v>
      </c>
      <c r="J85" s="31"/>
      <c r="K85" s="31"/>
      <c r="L85" s="37"/>
      <c r="M85" s="31"/>
    </row>
    <row r="86" spans="1:13" ht="12.75">
      <c r="A86" s="31"/>
      <c r="B86" s="31"/>
      <c r="C86" s="31"/>
      <c r="D86" s="31"/>
      <c r="E86" s="31"/>
      <c r="F86" s="31"/>
      <c r="J86" s="31"/>
      <c r="K86" s="31"/>
      <c r="L86" s="197"/>
      <c r="M86" s="31"/>
    </row>
    <row r="87" spans="1:13" ht="12.7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197"/>
      <c r="M87" s="31"/>
    </row>
    <row r="88" spans="1:13" ht="12.7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197"/>
      <c r="M88" s="31"/>
    </row>
    <row r="89" spans="1:13" ht="12.7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197"/>
      <c r="M89" s="31"/>
    </row>
    <row r="90" spans="1:13" ht="12.7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197"/>
      <c r="M90" s="31"/>
    </row>
    <row r="91" spans="1:13" ht="12.7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197"/>
      <c r="M91" s="31"/>
    </row>
    <row r="92" spans="1:13" ht="12.7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197"/>
      <c r="M92" s="31"/>
    </row>
    <row r="93" spans="1:13" ht="12.7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197"/>
      <c r="M93" s="31"/>
    </row>
    <row r="94" spans="1:13" ht="12.7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197"/>
      <c r="M94" s="31"/>
    </row>
    <row r="95" spans="1:13" ht="12.7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197"/>
      <c r="M95" s="31"/>
    </row>
    <row r="96" spans="1:13" ht="12.7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197"/>
      <c r="M96" s="31"/>
    </row>
    <row r="97" spans="1:13" ht="12.7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197"/>
      <c r="M97" s="31"/>
    </row>
    <row r="98" spans="1:13" ht="12.7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197"/>
      <c r="M98" s="31"/>
    </row>
    <row r="99" spans="1:13" ht="12.7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197"/>
      <c r="M99" s="31"/>
    </row>
    <row r="100" spans="1:13" ht="12.7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197"/>
      <c r="M100" s="31"/>
    </row>
    <row r="101" spans="1:13" ht="12.7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197"/>
      <c r="M101" s="31"/>
    </row>
    <row r="102" spans="1:13" ht="12.7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197"/>
      <c r="M102" s="31"/>
    </row>
    <row r="103" spans="1:13" ht="12.7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197"/>
      <c r="M103" s="31"/>
    </row>
    <row r="104" spans="1:13" ht="12.7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197"/>
      <c r="M104" s="31"/>
    </row>
    <row r="105" spans="1:13" ht="12.7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197"/>
      <c r="M105" s="31"/>
    </row>
    <row r="106" spans="1:13" ht="12.7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197"/>
      <c r="M106" s="31"/>
    </row>
    <row r="107" spans="1:13" ht="12.7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197"/>
      <c r="M107" s="31"/>
    </row>
    <row r="108" spans="1:13" ht="12.7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197"/>
      <c r="M108" s="31"/>
    </row>
    <row r="109" spans="1:13" ht="12.7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197"/>
      <c r="M109" s="31"/>
    </row>
    <row r="110" spans="1:13" ht="12.7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197"/>
      <c r="M110" s="31"/>
    </row>
    <row r="111" spans="1:13" ht="12.7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197"/>
      <c r="M111" s="31"/>
    </row>
    <row r="112" spans="1:13" ht="12.7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197"/>
      <c r="M112" s="31"/>
    </row>
    <row r="113" spans="1:13" ht="12.7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197"/>
      <c r="M113" s="31"/>
    </row>
    <row r="114" spans="1:13" ht="12.7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197"/>
      <c r="M114" s="31"/>
    </row>
    <row r="115" spans="1:13" ht="12.7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197"/>
      <c r="M115" s="31"/>
    </row>
    <row r="116" spans="1:13" ht="12.7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197"/>
      <c r="M116" s="31"/>
    </row>
    <row r="117" spans="1:13" ht="12.7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197"/>
      <c r="M117" s="31"/>
    </row>
    <row r="118" spans="1:13" ht="12.7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197"/>
      <c r="M118" s="31"/>
    </row>
    <row r="119" spans="1:13" ht="12.7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197"/>
      <c r="M119" s="31"/>
    </row>
    <row r="120" spans="1:13" ht="12.7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197"/>
      <c r="M120" s="31"/>
    </row>
    <row r="121" spans="1:13" ht="12.7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197"/>
      <c r="M121" s="31"/>
    </row>
    <row r="122" spans="1:13" ht="12.7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197"/>
      <c r="M122" s="31"/>
    </row>
    <row r="123" spans="1:13" ht="12.7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197"/>
      <c r="M123" s="31"/>
    </row>
    <row r="124" spans="1:13" ht="12.7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197"/>
      <c r="M124" s="31"/>
    </row>
    <row r="125" spans="1:13" ht="12.7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197"/>
      <c r="M125" s="31"/>
    </row>
    <row r="126" spans="1:13" ht="12.7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197"/>
      <c r="M126" s="31"/>
    </row>
    <row r="127" spans="1:13" ht="12.7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197"/>
      <c r="M127" s="31"/>
    </row>
    <row r="128" spans="1:13" ht="12.7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197"/>
      <c r="M128" s="31"/>
    </row>
    <row r="129" spans="1:13" ht="12.7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197"/>
      <c r="M129" s="31"/>
    </row>
    <row r="130" spans="1:13" ht="12.7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197"/>
      <c r="M130" s="31"/>
    </row>
    <row r="131" spans="1:13" ht="12.7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197"/>
      <c r="M131" s="31"/>
    </row>
    <row r="132" spans="1:13" ht="12.7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197"/>
      <c r="M132" s="31"/>
    </row>
    <row r="133" spans="1:13" ht="12.7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197"/>
      <c r="M133" s="31"/>
    </row>
    <row r="134" spans="1:13" ht="12.7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197"/>
      <c r="M134" s="31"/>
    </row>
    <row r="135" spans="1:13" ht="12.7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197"/>
      <c r="M135" s="31"/>
    </row>
    <row r="136" spans="1:13" ht="12.7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197"/>
      <c r="M136" s="31"/>
    </row>
    <row r="137" spans="1:13" ht="12.7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197"/>
      <c r="M137" s="31"/>
    </row>
    <row r="138" spans="1:13" ht="12.7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197"/>
      <c r="M138" s="31"/>
    </row>
    <row r="139" spans="1:13" ht="12.7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197"/>
      <c r="M139" s="31"/>
    </row>
    <row r="140" spans="1:13" ht="12.7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197"/>
      <c r="M140" s="31"/>
    </row>
    <row r="141" spans="1:13" ht="12.7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197"/>
      <c r="M141" s="31"/>
    </row>
    <row r="142" spans="1:13" ht="12.7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197"/>
      <c r="M142" s="31"/>
    </row>
    <row r="143" spans="1:13" ht="12.7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197"/>
      <c r="M143" s="31"/>
    </row>
    <row r="144" spans="1:13" ht="12.7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197"/>
      <c r="M144" s="31"/>
    </row>
    <row r="145" spans="1:13" ht="12.7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197"/>
      <c r="M145" s="31"/>
    </row>
    <row r="146" spans="1:13" ht="12.7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197"/>
      <c r="M146" s="31"/>
    </row>
    <row r="147" spans="1:13" ht="12.7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197"/>
      <c r="M147" s="31"/>
    </row>
    <row r="148" spans="1:13" ht="12.7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197"/>
      <c r="M148" s="31"/>
    </row>
    <row r="149" spans="1:13" ht="12.7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197"/>
      <c r="M149" s="31"/>
    </row>
    <row r="150" spans="1:13" ht="12.7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197"/>
      <c r="M150" s="31"/>
    </row>
    <row r="151" spans="1:13" ht="12.7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197"/>
      <c r="M151" s="31"/>
    </row>
    <row r="152" spans="1:13" ht="12.7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197"/>
      <c r="M152" s="31"/>
    </row>
    <row r="153" spans="1:13" ht="12.7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197"/>
      <c r="M153" s="31"/>
    </row>
    <row r="154" spans="1:13" ht="12.7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197"/>
      <c r="M154" s="31"/>
    </row>
    <row r="155" spans="1:13" ht="12.7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197"/>
      <c r="M155" s="31"/>
    </row>
    <row r="156" spans="1:13" ht="12.7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197"/>
      <c r="M156" s="31"/>
    </row>
    <row r="157" spans="1:13" ht="12.7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197"/>
      <c r="M157" s="31"/>
    </row>
    <row r="158" spans="1:13" ht="12.7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197"/>
      <c r="M158" s="31"/>
    </row>
    <row r="159" spans="1:13" ht="12.7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197"/>
      <c r="M159" s="31"/>
    </row>
    <row r="160" spans="1:13" ht="12.7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197"/>
      <c r="M160" s="31"/>
    </row>
    <row r="161" spans="1:13" ht="12.7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197"/>
      <c r="M161" s="31"/>
    </row>
    <row r="162" spans="1:13" ht="12.7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197"/>
      <c r="M162" s="31"/>
    </row>
    <row r="163" spans="1:13" ht="12.7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197"/>
      <c r="M163" s="31"/>
    </row>
    <row r="164" spans="1:13" ht="12.7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197"/>
      <c r="M164" s="31"/>
    </row>
    <row r="165" spans="1:13" ht="12.7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197"/>
      <c r="M165" s="31"/>
    </row>
    <row r="166" spans="1:13" ht="12.7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197"/>
      <c r="M166" s="31"/>
    </row>
    <row r="167" spans="1:13" ht="12.7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197"/>
      <c r="M167" s="31"/>
    </row>
    <row r="168" spans="1:13" ht="12.7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197"/>
      <c r="M168" s="31"/>
    </row>
    <row r="169" spans="1:13" ht="12.7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197"/>
      <c r="M169" s="31"/>
    </row>
    <row r="170" spans="1:13" ht="12.7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197"/>
      <c r="M170" s="31"/>
    </row>
    <row r="171" spans="1:13" ht="12.7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197"/>
      <c r="M171" s="31"/>
    </row>
    <row r="172" spans="1:13" ht="12.7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197"/>
      <c r="M172" s="31"/>
    </row>
    <row r="173" spans="1:13" ht="12.7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197"/>
      <c r="M173" s="31"/>
    </row>
    <row r="174" spans="1:13" ht="12.7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197"/>
      <c r="M174" s="31"/>
    </row>
    <row r="175" spans="1:13" ht="12.7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197"/>
      <c r="M175" s="31"/>
    </row>
    <row r="176" spans="1:13" ht="12.7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197"/>
      <c r="M176" s="31"/>
    </row>
    <row r="177" spans="1:13" ht="12.7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197"/>
      <c r="M177" s="31"/>
    </row>
    <row r="178" spans="1:13" ht="12.7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197"/>
      <c r="M178" s="31"/>
    </row>
    <row r="179" spans="1:13" ht="12.7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197"/>
      <c r="M179" s="31"/>
    </row>
    <row r="180" spans="1:13" ht="12.7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197"/>
      <c r="M180" s="31"/>
    </row>
    <row r="181" spans="1:13" ht="12.7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197"/>
      <c r="M181" s="31"/>
    </row>
    <row r="182" spans="1:13" ht="12.7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197"/>
      <c r="M182" s="31"/>
    </row>
    <row r="183" spans="1:13" ht="12.7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197"/>
      <c r="M183" s="31"/>
    </row>
    <row r="184" spans="1:13" ht="12.7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197"/>
      <c r="M184" s="31"/>
    </row>
    <row r="185" spans="1:13" ht="12.7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197"/>
      <c r="M185" s="31"/>
    </row>
    <row r="186" spans="1:13" ht="12.7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197"/>
      <c r="M186" s="31"/>
    </row>
    <row r="187" spans="1:13" ht="12.7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197"/>
      <c r="M187" s="31"/>
    </row>
    <row r="188" spans="1:13" ht="12.7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197"/>
      <c r="M188" s="31"/>
    </row>
    <row r="189" spans="1:13" ht="12.7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197"/>
      <c r="M189" s="31"/>
    </row>
    <row r="190" spans="1:13" ht="12.7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197"/>
      <c r="M190" s="31"/>
    </row>
    <row r="191" spans="1:13" ht="12.7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197"/>
      <c r="M191" s="31"/>
    </row>
    <row r="192" spans="1:13" ht="12.7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197"/>
      <c r="M192" s="31"/>
    </row>
    <row r="193" spans="1:13" ht="12.7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197"/>
      <c r="M193" s="31"/>
    </row>
    <row r="194" spans="1:13" ht="12.7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197"/>
      <c r="M194" s="31"/>
    </row>
    <row r="195" spans="1:13" ht="12.7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197"/>
      <c r="M195" s="31"/>
    </row>
    <row r="196" spans="1:13" ht="12.7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197"/>
      <c r="M196" s="31"/>
    </row>
    <row r="197" spans="1:13" ht="12.7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197"/>
      <c r="M197" s="31"/>
    </row>
    <row r="198" spans="1:13" ht="12.7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197"/>
      <c r="M198" s="31"/>
    </row>
    <row r="199" spans="1:13" ht="12.7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197"/>
      <c r="M199" s="31"/>
    </row>
    <row r="200" spans="1:13" ht="12.7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197"/>
      <c r="M200" s="31"/>
    </row>
    <row r="201" spans="1:13" ht="12.7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197"/>
      <c r="M201" s="31"/>
    </row>
    <row r="202" spans="1:13" ht="12.7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197"/>
      <c r="M202" s="31"/>
    </row>
    <row r="203" spans="1:13" ht="12.7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197"/>
      <c r="M203" s="31"/>
    </row>
    <row r="204" spans="1:13" ht="12.7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197"/>
      <c r="M204" s="31"/>
    </row>
    <row r="205" spans="1:13" ht="12.7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197"/>
      <c r="M205" s="31"/>
    </row>
    <row r="206" spans="1:13" ht="12.7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197"/>
      <c r="M206" s="31"/>
    </row>
    <row r="207" spans="1:13" ht="12.7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197"/>
      <c r="M207" s="31"/>
    </row>
    <row r="208" spans="1:13" ht="12.7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197"/>
      <c r="M208" s="31"/>
    </row>
    <row r="209" spans="1:13" ht="12.7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197"/>
      <c r="M209" s="31"/>
    </row>
    <row r="210" spans="1:13" ht="12.7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197"/>
      <c r="M210" s="31"/>
    </row>
    <row r="211" spans="1:13" ht="12.7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197"/>
      <c r="M211" s="31"/>
    </row>
    <row r="212" spans="1:13" ht="12.7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197"/>
      <c r="M212" s="31"/>
    </row>
    <row r="213" spans="1:13" ht="12.7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197"/>
      <c r="M213" s="31"/>
    </row>
  </sheetData>
  <sheetProtection/>
  <mergeCells count="387">
    <mergeCell ref="L75:L76"/>
    <mergeCell ref="L77:L78"/>
    <mergeCell ref="L63:L64"/>
    <mergeCell ref="L65:L66"/>
    <mergeCell ref="L67:L68"/>
    <mergeCell ref="L69:L70"/>
    <mergeCell ref="L71:L72"/>
    <mergeCell ref="L73:L74"/>
    <mergeCell ref="A75:A76"/>
    <mergeCell ref="B75:B76"/>
    <mergeCell ref="C75:C76"/>
    <mergeCell ref="D75:D76"/>
    <mergeCell ref="A77:A78"/>
    <mergeCell ref="B77:B78"/>
    <mergeCell ref="C77:C78"/>
    <mergeCell ref="D77:D78"/>
    <mergeCell ref="A71:A72"/>
    <mergeCell ref="B71:B72"/>
    <mergeCell ref="C71:C72"/>
    <mergeCell ref="D71:D72"/>
    <mergeCell ref="A73:A74"/>
    <mergeCell ref="B73:B74"/>
    <mergeCell ref="C73:C74"/>
    <mergeCell ref="D73:D74"/>
    <mergeCell ref="E76:E77"/>
    <mergeCell ref="F76:F77"/>
    <mergeCell ref="G76:G77"/>
    <mergeCell ref="H76:H77"/>
    <mergeCell ref="I76:I77"/>
    <mergeCell ref="G72:G73"/>
    <mergeCell ref="H72:H73"/>
    <mergeCell ref="I72:I73"/>
    <mergeCell ref="E74:E75"/>
    <mergeCell ref="F74:F75"/>
    <mergeCell ref="G74:G75"/>
    <mergeCell ref="H74:H75"/>
    <mergeCell ref="I74:I75"/>
    <mergeCell ref="G68:G69"/>
    <mergeCell ref="H68:H69"/>
    <mergeCell ref="I68:I69"/>
    <mergeCell ref="E70:E71"/>
    <mergeCell ref="F70:F71"/>
    <mergeCell ref="G70:G71"/>
    <mergeCell ref="H70:H71"/>
    <mergeCell ref="I70:I71"/>
    <mergeCell ref="G64:G65"/>
    <mergeCell ref="H64:H65"/>
    <mergeCell ref="I64:I65"/>
    <mergeCell ref="E66:E67"/>
    <mergeCell ref="F66:F67"/>
    <mergeCell ref="G66:G67"/>
    <mergeCell ref="H66:H67"/>
    <mergeCell ref="I66:I67"/>
    <mergeCell ref="E64:E65"/>
    <mergeCell ref="F64:F65"/>
    <mergeCell ref="E68:E69"/>
    <mergeCell ref="F68:F69"/>
    <mergeCell ref="E72:E73"/>
    <mergeCell ref="F72:F73"/>
    <mergeCell ref="C67:C68"/>
    <mergeCell ref="D67:D68"/>
    <mergeCell ref="A69:A70"/>
    <mergeCell ref="B69:B70"/>
    <mergeCell ref="C69:C70"/>
    <mergeCell ref="D69:D70"/>
    <mergeCell ref="A67:A68"/>
    <mergeCell ref="B67:B68"/>
    <mergeCell ref="A65:A66"/>
    <mergeCell ref="B65:B66"/>
    <mergeCell ref="C65:C66"/>
    <mergeCell ref="D65:D66"/>
    <mergeCell ref="E62:E63"/>
    <mergeCell ref="F62:F63"/>
    <mergeCell ref="C63:C64"/>
    <mergeCell ref="D63:D64"/>
    <mergeCell ref="H58:H59"/>
    <mergeCell ref="I58:I59"/>
    <mergeCell ref="G62:G63"/>
    <mergeCell ref="H62:H63"/>
    <mergeCell ref="I62:I63"/>
    <mergeCell ref="G60:G61"/>
    <mergeCell ref="H60:H61"/>
    <mergeCell ref="I60:I61"/>
    <mergeCell ref="E58:E59"/>
    <mergeCell ref="F58:F59"/>
    <mergeCell ref="L59:L60"/>
    <mergeCell ref="L61:L62"/>
    <mergeCell ref="C59:C60"/>
    <mergeCell ref="D59:D60"/>
    <mergeCell ref="C61:C62"/>
    <mergeCell ref="D61:D62"/>
    <mergeCell ref="E60:E61"/>
    <mergeCell ref="F60:F61"/>
    <mergeCell ref="B59:B60"/>
    <mergeCell ref="B61:B62"/>
    <mergeCell ref="B63:B64"/>
    <mergeCell ref="A59:A60"/>
    <mergeCell ref="A61:A62"/>
    <mergeCell ref="A63:A64"/>
    <mergeCell ref="B57:B58"/>
    <mergeCell ref="C57:C58"/>
    <mergeCell ref="D57:D58"/>
    <mergeCell ref="L57:L58"/>
    <mergeCell ref="A55:A56"/>
    <mergeCell ref="B55:B56"/>
    <mergeCell ref="C55:C56"/>
    <mergeCell ref="D55:D56"/>
    <mergeCell ref="L55:L56"/>
    <mergeCell ref="G58:G59"/>
    <mergeCell ref="E56:E57"/>
    <mergeCell ref="F56:F57"/>
    <mergeCell ref="G56:G57"/>
    <mergeCell ref="H56:H57"/>
    <mergeCell ref="I56:I57"/>
    <mergeCell ref="A53:A54"/>
    <mergeCell ref="B53:B54"/>
    <mergeCell ref="C53:C54"/>
    <mergeCell ref="D53:D54"/>
    <mergeCell ref="A57:A58"/>
    <mergeCell ref="L53:L54"/>
    <mergeCell ref="E54:E55"/>
    <mergeCell ref="F54:F55"/>
    <mergeCell ref="G54:G55"/>
    <mergeCell ref="H54:H55"/>
    <mergeCell ref="I54:I55"/>
    <mergeCell ref="A51:A52"/>
    <mergeCell ref="B51:B52"/>
    <mergeCell ref="C51:C52"/>
    <mergeCell ref="D51:D52"/>
    <mergeCell ref="L51:L52"/>
    <mergeCell ref="E52:E53"/>
    <mergeCell ref="F52:F53"/>
    <mergeCell ref="G52:G53"/>
    <mergeCell ref="H52:H53"/>
    <mergeCell ref="I52:I53"/>
    <mergeCell ref="A49:A50"/>
    <mergeCell ref="B49:B50"/>
    <mergeCell ref="C49:C50"/>
    <mergeCell ref="D49:D50"/>
    <mergeCell ref="L49:L50"/>
    <mergeCell ref="E50:E51"/>
    <mergeCell ref="F50:F51"/>
    <mergeCell ref="G50:G51"/>
    <mergeCell ref="H50:H51"/>
    <mergeCell ref="I50:I51"/>
    <mergeCell ref="A47:A48"/>
    <mergeCell ref="B47:B48"/>
    <mergeCell ref="C47:C48"/>
    <mergeCell ref="D47:D48"/>
    <mergeCell ref="L47:L48"/>
    <mergeCell ref="E48:E49"/>
    <mergeCell ref="F48:F49"/>
    <mergeCell ref="G48:G49"/>
    <mergeCell ref="H48:H49"/>
    <mergeCell ref="I48:I49"/>
    <mergeCell ref="A45:A46"/>
    <mergeCell ref="B45:B46"/>
    <mergeCell ref="C45:C46"/>
    <mergeCell ref="D45:D46"/>
    <mergeCell ref="L45:L46"/>
    <mergeCell ref="E46:E47"/>
    <mergeCell ref="F46:F47"/>
    <mergeCell ref="G46:G47"/>
    <mergeCell ref="H46:H47"/>
    <mergeCell ref="I46:I47"/>
    <mergeCell ref="A43:A44"/>
    <mergeCell ref="B43:B44"/>
    <mergeCell ref="C43:C44"/>
    <mergeCell ref="D43:D44"/>
    <mergeCell ref="L43:L44"/>
    <mergeCell ref="E44:E45"/>
    <mergeCell ref="F44:F45"/>
    <mergeCell ref="G44:G45"/>
    <mergeCell ref="H44:H45"/>
    <mergeCell ref="I44:I45"/>
    <mergeCell ref="A41:A42"/>
    <mergeCell ref="B41:B42"/>
    <mergeCell ref="C41:C42"/>
    <mergeCell ref="D41:D42"/>
    <mergeCell ref="L41:L42"/>
    <mergeCell ref="E42:E43"/>
    <mergeCell ref="F42:F43"/>
    <mergeCell ref="G42:G43"/>
    <mergeCell ref="H42:H43"/>
    <mergeCell ref="I42:I43"/>
    <mergeCell ref="A39:A40"/>
    <mergeCell ref="B39:B40"/>
    <mergeCell ref="C39:C40"/>
    <mergeCell ref="D39:D40"/>
    <mergeCell ref="L39:L40"/>
    <mergeCell ref="E40:E41"/>
    <mergeCell ref="F40:F41"/>
    <mergeCell ref="G40:G41"/>
    <mergeCell ref="H40:H41"/>
    <mergeCell ref="I40:I41"/>
    <mergeCell ref="A37:A38"/>
    <mergeCell ref="B37:B38"/>
    <mergeCell ref="C37:C38"/>
    <mergeCell ref="D37:D38"/>
    <mergeCell ref="L37:L38"/>
    <mergeCell ref="E38:E39"/>
    <mergeCell ref="F38:F39"/>
    <mergeCell ref="G38:G39"/>
    <mergeCell ref="H38:H39"/>
    <mergeCell ref="I38:I39"/>
    <mergeCell ref="A35:A36"/>
    <mergeCell ref="B35:B36"/>
    <mergeCell ref="C35:C36"/>
    <mergeCell ref="D35:D36"/>
    <mergeCell ref="L35:L36"/>
    <mergeCell ref="E36:E37"/>
    <mergeCell ref="F36:F37"/>
    <mergeCell ref="G36:G37"/>
    <mergeCell ref="H36:H37"/>
    <mergeCell ref="I36:I37"/>
    <mergeCell ref="A33:A34"/>
    <mergeCell ref="B33:B34"/>
    <mergeCell ref="C33:C34"/>
    <mergeCell ref="D33:D34"/>
    <mergeCell ref="L33:L34"/>
    <mergeCell ref="E34:E35"/>
    <mergeCell ref="F34:F35"/>
    <mergeCell ref="G34:G35"/>
    <mergeCell ref="H34:H35"/>
    <mergeCell ref="I34:I35"/>
    <mergeCell ref="A31:A32"/>
    <mergeCell ref="B31:B32"/>
    <mergeCell ref="C31:C32"/>
    <mergeCell ref="D31:D32"/>
    <mergeCell ref="L31:L32"/>
    <mergeCell ref="E32:E33"/>
    <mergeCell ref="F32:F33"/>
    <mergeCell ref="G32:G33"/>
    <mergeCell ref="H32:H33"/>
    <mergeCell ref="I32:I33"/>
    <mergeCell ref="A29:A30"/>
    <mergeCell ref="B29:B30"/>
    <mergeCell ref="C29:C30"/>
    <mergeCell ref="D29:D30"/>
    <mergeCell ref="L29:L30"/>
    <mergeCell ref="E30:E31"/>
    <mergeCell ref="F30:F31"/>
    <mergeCell ref="G30:G31"/>
    <mergeCell ref="H30:H31"/>
    <mergeCell ref="I30:I31"/>
    <mergeCell ref="A27:A28"/>
    <mergeCell ref="B27:B28"/>
    <mergeCell ref="C27:C28"/>
    <mergeCell ref="D27:D28"/>
    <mergeCell ref="L27:L28"/>
    <mergeCell ref="E28:E29"/>
    <mergeCell ref="F28:F29"/>
    <mergeCell ref="G28:G29"/>
    <mergeCell ref="H28:H29"/>
    <mergeCell ref="I28:I29"/>
    <mergeCell ref="A25:A26"/>
    <mergeCell ref="B25:B26"/>
    <mergeCell ref="C25:C26"/>
    <mergeCell ref="D25:D26"/>
    <mergeCell ref="L25:L26"/>
    <mergeCell ref="E26:E27"/>
    <mergeCell ref="F26:F27"/>
    <mergeCell ref="G26:G27"/>
    <mergeCell ref="H26:H27"/>
    <mergeCell ref="I26:I27"/>
    <mergeCell ref="A23:A24"/>
    <mergeCell ref="B23:B24"/>
    <mergeCell ref="C23:C24"/>
    <mergeCell ref="D23:D24"/>
    <mergeCell ref="L23:L24"/>
    <mergeCell ref="E24:E25"/>
    <mergeCell ref="F24:F25"/>
    <mergeCell ref="G24:G25"/>
    <mergeCell ref="H24:H25"/>
    <mergeCell ref="I24:I25"/>
    <mergeCell ref="A21:A22"/>
    <mergeCell ref="B21:B22"/>
    <mergeCell ref="C21:C22"/>
    <mergeCell ref="D21:D22"/>
    <mergeCell ref="L21:L22"/>
    <mergeCell ref="E22:E23"/>
    <mergeCell ref="F22:F23"/>
    <mergeCell ref="G22:G23"/>
    <mergeCell ref="H22:H23"/>
    <mergeCell ref="I22:I23"/>
    <mergeCell ref="A19:A20"/>
    <mergeCell ref="B19:B20"/>
    <mergeCell ref="C19:C20"/>
    <mergeCell ref="D19:D20"/>
    <mergeCell ref="L19:L20"/>
    <mergeCell ref="E20:E21"/>
    <mergeCell ref="F20:F21"/>
    <mergeCell ref="G20:G21"/>
    <mergeCell ref="H20:H21"/>
    <mergeCell ref="I20:I21"/>
    <mergeCell ref="A17:A18"/>
    <mergeCell ref="B17:B18"/>
    <mergeCell ref="C17:C18"/>
    <mergeCell ref="D17:D18"/>
    <mergeCell ref="L17:L18"/>
    <mergeCell ref="E18:E19"/>
    <mergeCell ref="F18:F19"/>
    <mergeCell ref="G18:G19"/>
    <mergeCell ref="H18:H19"/>
    <mergeCell ref="I18:I19"/>
    <mergeCell ref="A15:A16"/>
    <mergeCell ref="B15:B16"/>
    <mergeCell ref="C15:C16"/>
    <mergeCell ref="D15:D16"/>
    <mergeCell ref="L15:L16"/>
    <mergeCell ref="E16:E17"/>
    <mergeCell ref="F16:F17"/>
    <mergeCell ref="G16:G17"/>
    <mergeCell ref="H16:H17"/>
    <mergeCell ref="I16:I17"/>
    <mergeCell ref="A13:A14"/>
    <mergeCell ref="B13:B14"/>
    <mergeCell ref="C13:C14"/>
    <mergeCell ref="D13:D14"/>
    <mergeCell ref="L13:L14"/>
    <mergeCell ref="E14:E15"/>
    <mergeCell ref="F14:F15"/>
    <mergeCell ref="G14:G15"/>
    <mergeCell ref="H14:H15"/>
    <mergeCell ref="I14:I15"/>
    <mergeCell ref="A11:A12"/>
    <mergeCell ref="B11:B12"/>
    <mergeCell ref="C11:C12"/>
    <mergeCell ref="D11:D12"/>
    <mergeCell ref="L11:L12"/>
    <mergeCell ref="E12:E13"/>
    <mergeCell ref="F12:F13"/>
    <mergeCell ref="G12:G13"/>
    <mergeCell ref="H12:H13"/>
    <mergeCell ref="I12:I13"/>
    <mergeCell ref="L9:L10"/>
    <mergeCell ref="E10:E11"/>
    <mergeCell ref="F10:F11"/>
    <mergeCell ref="G10:G11"/>
    <mergeCell ref="H10:H11"/>
    <mergeCell ref="I10:I11"/>
    <mergeCell ref="C8:D8"/>
    <mergeCell ref="E8:F8"/>
    <mergeCell ref="H8:I8"/>
    <mergeCell ref="A9:A10"/>
    <mergeCell ref="B9:B10"/>
    <mergeCell ref="C9:C10"/>
    <mergeCell ref="D9:D10"/>
    <mergeCell ref="D81:D82"/>
    <mergeCell ref="A1:I1"/>
    <mergeCell ref="A2:I2"/>
    <mergeCell ref="A4:A8"/>
    <mergeCell ref="B4:B8"/>
    <mergeCell ref="C4:D5"/>
    <mergeCell ref="E4:F4"/>
    <mergeCell ref="G4:G7"/>
    <mergeCell ref="H4:I5"/>
    <mergeCell ref="E5:F5"/>
    <mergeCell ref="E78:E79"/>
    <mergeCell ref="F78:F79"/>
    <mergeCell ref="E82:E83"/>
    <mergeCell ref="F82:F83"/>
    <mergeCell ref="A79:A80"/>
    <mergeCell ref="B79:B80"/>
    <mergeCell ref="C79:C80"/>
    <mergeCell ref="D79:D80"/>
    <mergeCell ref="A81:A82"/>
    <mergeCell ref="B81:B82"/>
    <mergeCell ref="E80:E81"/>
    <mergeCell ref="F80:F81"/>
    <mergeCell ref="G80:G81"/>
    <mergeCell ref="H80:H81"/>
    <mergeCell ref="I80:I81"/>
    <mergeCell ref="A83:A84"/>
    <mergeCell ref="B83:B84"/>
    <mergeCell ref="C83:C84"/>
    <mergeCell ref="D83:D84"/>
    <mergeCell ref="C81:C82"/>
    <mergeCell ref="G82:G83"/>
    <mergeCell ref="H82:H83"/>
    <mergeCell ref="I82:I83"/>
    <mergeCell ref="L79:L80"/>
    <mergeCell ref="L81:L82"/>
    <mergeCell ref="L83:L84"/>
    <mergeCell ref="G78:G79"/>
    <mergeCell ref="H78:H79"/>
    <mergeCell ref="I78:I79"/>
  </mergeCells>
  <printOptions/>
  <pageMargins left="1.18125" right="0.7875" top="0.7875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2"/>
  <sheetViews>
    <sheetView showGridLines="0" view="pageBreakPreview" zoomScale="115" zoomScaleSheetLayoutView="115" zoomScalePageLayoutView="0" workbookViewId="0" topLeftCell="A1">
      <selection activeCell="D80" sqref="D80:G80"/>
    </sheetView>
  </sheetViews>
  <sheetFormatPr defaultColWidth="9.140625" defaultRowHeight="12.75"/>
  <cols>
    <col min="1" max="1" width="6.57421875" style="27" bestFit="1" customWidth="1"/>
    <col min="2" max="2" width="12.421875" style="27" bestFit="1" customWidth="1"/>
    <col min="3" max="6" width="11.00390625" style="27" customWidth="1"/>
    <col min="7" max="7" width="9.8515625" style="27" customWidth="1"/>
    <col min="8" max="8" width="9.140625" style="27" customWidth="1"/>
    <col min="9" max="9" width="11.8515625" style="27" customWidth="1"/>
    <col min="10" max="16384" width="9.140625" style="27" customWidth="1"/>
  </cols>
  <sheetData>
    <row r="1" spans="1:9" s="26" customFormat="1" ht="37.5" customHeight="1">
      <c r="A1" s="502" t="str">
        <f>Przedmiar!A1</f>
        <v>Przebudowa drogi powiatowej nr 1715W  Bróza - Radom w 
km od ok. 17+063,93 do ok. 17+918</v>
      </c>
      <c r="B1" s="502"/>
      <c r="C1" s="502"/>
      <c r="D1" s="502"/>
      <c r="E1" s="502"/>
      <c r="F1" s="502"/>
      <c r="G1" s="502"/>
      <c r="H1" s="213"/>
      <c r="I1" s="213"/>
    </row>
    <row r="2" spans="1:9" ht="14.25">
      <c r="A2" s="514" t="s">
        <v>95</v>
      </c>
      <c r="B2" s="514"/>
      <c r="C2" s="514"/>
      <c r="D2" s="514"/>
      <c r="E2" s="514"/>
      <c r="F2" s="514"/>
      <c r="G2" s="514"/>
      <c r="H2" s="26"/>
      <c r="I2" s="26"/>
    </row>
    <row r="3" spans="1:9" ht="19.5" customHeight="1">
      <c r="A3" s="28"/>
      <c r="B3" s="28"/>
      <c r="C3" s="28"/>
      <c r="D3" s="28"/>
      <c r="E3" s="28"/>
      <c r="F3" s="28"/>
      <c r="G3" s="28"/>
      <c r="H3" s="26"/>
      <c r="I3" s="26"/>
    </row>
    <row r="4" spans="1:15" s="31" customFormat="1" ht="18" customHeight="1">
      <c r="A4" s="39" t="s">
        <v>47</v>
      </c>
      <c r="B4" s="513" t="s">
        <v>48</v>
      </c>
      <c r="C4" s="513" t="s">
        <v>49</v>
      </c>
      <c r="D4" s="39" t="s">
        <v>37</v>
      </c>
      <c r="E4" s="513" t="s">
        <v>38</v>
      </c>
      <c r="F4" s="513" t="s">
        <v>36</v>
      </c>
      <c r="G4" s="40" t="s">
        <v>39</v>
      </c>
      <c r="H4" s="27"/>
      <c r="I4" s="503"/>
      <c r="J4" s="503"/>
      <c r="K4" s="503"/>
      <c r="L4" s="503"/>
      <c r="M4" s="503"/>
      <c r="N4" s="503"/>
      <c r="O4" s="503"/>
    </row>
    <row r="5" spans="1:7" ht="18" customHeight="1">
      <c r="A5" s="41" t="s">
        <v>50</v>
      </c>
      <c r="B5" s="513"/>
      <c r="C5" s="513"/>
      <c r="D5" s="41" t="s">
        <v>51</v>
      </c>
      <c r="E5" s="513"/>
      <c r="F5" s="513"/>
      <c r="G5" s="42" t="s">
        <v>52</v>
      </c>
    </row>
    <row r="6" spans="1:7" ht="12.75">
      <c r="A6" s="43" t="s">
        <v>53</v>
      </c>
      <c r="B6" s="44" t="s">
        <v>53</v>
      </c>
      <c r="C6" s="44" t="s">
        <v>54</v>
      </c>
      <c r="D6" s="44" t="s">
        <v>54</v>
      </c>
      <c r="E6" s="44" t="s">
        <v>54</v>
      </c>
      <c r="F6" s="45" t="s">
        <v>55</v>
      </c>
      <c r="G6" s="45" t="s">
        <v>56</v>
      </c>
    </row>
    <row r="7" spans="1:9" ht="12.75">
      <c r="A7" s="500">
        <v>183</v>
      </c>
      <c r="B7" s="507" t="s">
        <v>191</v>
      </c>
      <c r="C7" s="508">
        <v>7.34</v>
      </c>
      <c r="D7" s="46"/>
      <c r="E7" s="46"/>
      <c r="F7" s="46"/>
      <c r="G7" s="46"/>
      <c r="I7" s="509">
        <v>17064</v>
      </c>
    </row>
    <row r="8" spans="1:9" ht="12.75">
      <c r="A8" s="500"/>
      <c r="B8" s="499"/>
      <c r="C8" s="508"/>
      <c r="D8" s="497">
        <f>(C7+C9)*0.5</f>
        <v>7.48</v>
      </c>
      <c r="E8" s="497">
        <f>I9-I7</f>
        <v>21.16</v>
      </c>
      <c r="F8" s="497">
        <f>D8*E8</f>
        <v>158.28</v>
      </c>
      <c r="G8" s="498">
        <f>F8*0.1</f>
        <v>15.8</v>
      </c>
      <c r="I8" s="510"/>
    </row>
    <row r="9" spans="1:9" ht="12.75">
      <c r="A9" s="501">
        <v>184</v>
      </c>
      <c r="B9" s="499" t="s">
        <v>192</v>
      </c>
      <c r="C9" s="497">
        <v>7.61</v>
      </c>
      <c r="D9" s="497"/>
      <c r="E9" s="497"/>
      <c r="F9" s="497"/>
      <c r="G9" s="498"/>
      <c r="I9" s="497">
        <v>17085.16</v>
      </c>
    </row>
    <row r="10" spans="1:9" ht="12.75">
      <c r="A10" s="501"/>
      <c r="B10" s="499"/>
      <c r="C10" s="497"/>
      <c r="D10" s="497">
        <f>(C9+C11)*0.5</f>
        <v>5.83</v>
      </c>
      <c r="E10" s="497">
        <f>I11-I9</f>
        <v>20.58</v>
      </c>
      <c r="F10" s="497">
        <f>D10*E10</f>
        <v>119.98</v>
      </c>
      <c r="G10" s="498">
        <f>F10*0.1</f>
        <v>12</v>
      </c>
      <c r="I10" s="497"/>
    </row>
    <row r="11" spans="1:9" ht="12.75">
      <c r="A11" s="500">
        <v>185</v>
      </c>
      <c r="B11" s="499" t="s">
        <v>193</v>
      </c>
      <c r="C11" s="497">
        <v>4.04</v>
      </c>
      <c r="D11" s="497"/>
      <c r="E11" s="497"/>
      <c r="F11" s="497"/>
      <c r="G11" s="498"/>
      <c r="I11" s="497">
        <v>17105.74</v>
      </c>
    </row>
    <row r="12" spans="1:9" ht="12.75">
      <c r="A12" s="500"/>
      <c r="B12" s="499"/>
      <c r="C12" s="497"/>
      <c r="D12" s="497">
        <f>(C11+C13)*0.5</f>
        <v>5.95</v>
      </c>
      <c r="E12" s="497">
        <f>I13-I11</f>
        <v>19.26</v>
      </c>
      <c r="F12" s="497">
        <f>D12*E12</f>
        <v>114.6</v>
      </c>
      <c r="G12" s="498">
        <f>F12*0.1</f>
        <v>11.5</v>
      </c>
      <c r="I12" s="497"/>
    </row>
    <row r="13" spans="1:9" ht="12.75">
      <c r="A13" s="501">
        <v>186</v>
      </c>
      <c r="B13" s="499" t="s">
        <v>194</v>
      </c>
      <c r="C13" s="497">
        <v>7.86</v>
      </c>
      <c r="D13" s="497"/>
      <c r="E13" s="497"/>
      <c r="F13" s="497"/>
      <c r="G13" s="498"/>
      <c r="I13" s="497">
        <v>17125</v>
      </c>
    </row>
    <row r="14" spans="1:9" ht="12.75">
      <c r="A14" s="501"/>
      <c r="B14" s="499"/>
      <c r="C14" s="497"/>
      <c r="D14" s="497">
        <f>(C13+C15)*0.5</f>
        <v>7.73</v>
      </c>
      <c r="E14" s="497">
        <f>I15-I13</f>
        <v>25</v>
      </c>
      <c r="F14" s="497">
        <f>D14*E14</f>
        <v>193.25</v>
      </c>
      <c r="G14" s="498">
        <f>F14*0.1</f>
        <v>19.3</v>
      </c>
      <c r="I14" s="497"/>
    </row>
    <row r="15" spans="1:9" ht="12.75">
      <c r="A15" s="500">
        <v>187</v>
      </c>
      <c r="B15" s="499" t="s">
        <v>195</v>
      </c>
      <c r="C15" s="497">
        <v>7.59</v>
      </c>
      <c r="D15" s="497"/>
      <c r="E15" s="497"/>
      <c r="F15" s="497"/>
      <c r="G15" s="498"/>
      <c r="I15" s="497">
        <v>17150</v>
      </c>
    </row>
    <row r="16" spans="1:9" ht="12.75">
      <c r="A16" s="500"/>
      <c r="B16" s="499"/>
      <c r="C16" s="497"/>
      <c r="D16" s="497">
        <f>(C15+C17)*0.5</f>
        <v>7.66</v>
      </c>
      <c r="E16" s="497">
        <f>I17-I15</f>
        <v>25</v>
      </c>
      <c r="F16" s="497">
        <f>D16*E16</f>
        <v>191.5</v>
      </c>
      <c r="G16" s="498">
        <f>F16*0.1</f>
        <v>19.2</v>
      </c>
      <c r="I16" s="497"/>
    </row>
    <row r="17" spans="1:9" ht="12.75">
      <c r="A17" s="501">
        <v>188</v>
      </c>
      <c r="B17" s="499" t="s">
        <v>206</v>
      </c>
      <c r="C17" s="497">
        <v>7.72</v>
      </c>
      <c r="D17" s="497"/>
      <c r="E17" s="497"/>
      <c r="F17" s="497"/>
      <c r="G17" s="498"/>
      <c r="I17" s="497">
        <v>17175</v>
      </c>
    </row>
    <row r="18" spans="1:9" ht="12.75">
      <c r="A18" s="501"/>
      <c r="B18" s="499"/>
      <c r="C18" s="497"/>
      <c r="D18" s="497">
        <f>(C17+C19)*0.5</f>
        <v>7.87</v>
      </c>
      <c r="E18" s="497">
        <f>I19-I17</f>
        <v>25</v>
      </c>
      <c r="F18" s="497">
        <f>D18*E18</f>
        <v>196.75</v>
      </c>
      <c r="G18" s="498">
        <f>F18*0.1</f>
        <v>19.7</v>
      </c>
      <c r="I18" s="497"/>
    </row>
    <row r="19" spans="1:9" ht="12.75">
      <c r="A19" s="500">
        <v>189</v>
      </c>
      <c r="B19" s="499" t="s">
        <v>207</v>
      </c>
      <c r="C19" s="497">
        <v>8.02</v>
      </c>
      <c r="D19" s="497"/>
      <c r="E19" s="497"/>
      <c r="F19" s="497"/>
      <c r="G19" s="498"/>
      <c r="I19" s="497">
        <v>17200</v>
      </c>
    </row>
    <row r="20" spans="1:9" ht="12.75">
      <c r="A20" s="500"/>
      <c r="B20" s="499"/>
      <c r="C20" s="497"/>
      <c r="D20" s="497">
        <f>(C19+C21)*0.5</f>
        <v>7.84</v>
      </c>
      <c r="E20" s="497">
        <f>I21-I19</f>
        <v>25</v>
      </c>
      <c r="F20" s="497">
        <f>D20*E20</f>
        <v>196</v>
      </c>
      <c r="G20" s="498">
        <f>F20*0.1</f>
        <v>19.6</v>
      </c>
      <c r="I20" s="497"/>
    </row>
    <row r="21" spans="1:9" ht="12.75">
      <c r="A21" s="501">
        <v>190</v>
      </c>
      <c r="B21" s="499" t="s">
        <v>205</v>
      </c>
      <c r="C21" s="497">
        <v>7.65</v>
      </c>
      <c r="D21" s="497"/>
      <c r="E21" s="497"/>
      <c r="F21" s="497"/>
      <c r="G21" s="498"/>
      <c r="I21" s="497">
        <v>17225</v>
      </c>
    </row>
    <row r="22" spans="1:9" ht="12.75">
      <c r="A22" s="501"/>
      <c r="B22" s="499"/>
      <c r="C22" s="497"/>
      <c r="D22" s="497">
        <f>(C21+C23)*0.5</f>
        <v>7.73</v>
      </c>
      <c r="E22" s="497">
        <f>I23-I21</f>
        <v>25</v>
      </c>
      <c r="F22" s="497">
        <f>D22*E22</f>
        <v>193.25</v>
      </c>
      <c r="G22" s="498">
        <f>F22*0.1</f>
        <v>19.3</v>
      </c>
      <c r="I22" s="497"/>
    </row>
    <row r="23" spans="1:9" ht="12.75">
      <c r="A23" s="500">
        <v>191</v>
      </c>
      <c r="B23" s="499" t="s">
        <v>204</v>
      </c>
      <c r="C23" s="497">
        <v>7.8</v>
      </c>
      <c r="D23" s="497"/>
      <c r="E23" s="497"/>
      <c r="F23" s="497"/>
      <c r="G23" s="498"/>
      <c r="I23" s="497">
        <v>17250</v>
      </c>
    </row>
    <row r="24" spans="1:9" ht="12.75">
      <c r="A24" s="500"/>
      <c r="B24" s="499"/>
      <c r="C24" s="497"/>
      <c r="D24" s="497">
        <f>(C23+C25)*0.5</f>
        <v>7.66</v>
      </c>
      <c r="E24" s="497">
        <f>I25-I23</f>
        <v>25</v>
      </c>
      <c r="F24" s="497">
        <f>D24*E24</f>
        <v>191.5</v>
      </c>
      <c r="G24" s="498">
        <f>F24*0.1</f>
        <v>19.2</v>
      </c>
      <c r="I24" s="497"/>
    </row>
    <row r="25" spans="1:9" ht="12.75">
      <c r="A25" s="501">
        <v>192</v>
      </c>
      <c r="B25" s="499" t="s">
        <v>208</v>
      </c>
      <c r="C25" s="497">
        <v>7.51</v>
      </c>
      <c r="D25" s="497"/>
      <c r="E25" s="497"/>
      <c r="F25" s="497"/>
      <c r="G25" s="498"/>
      <c r="I25" s="497">
        <v>17275</v>
      </c>
    </row>
    <row r="26" spans="1:9" ht="12.75">
      <c r="A26" s="501"/>
      <c r="B26" s="499"/>
      <c r="C26" s="497"/>
      <c r="D26" s="497">
        <f>(C25+C27)*0.5</f>
        <v>7.18</v>
      </c>
      <c r="E26" s="497">
        <f>I27-I25</f>
        <v>25</v>
      </c>
      <c r="F26" s="497">
        <f>D26*E26</f>
        <v>179.5</v>
      </c>
      <c r="G26" s="498">
        <f>F26*0.1</f>
        <v>18</v>
      </c>
      <c r="I26" s="497"/>
    </row>
    <row r="27" spans="1:9" ht="12.75">
      <c r="A27" s="500">
        <v>193</v>
      </c>
      <c r="B27" s="499" t="s">
        <v>209</v>
      </c>
      <c r="C27" s="497">
        <v>6.85</v>
      </c>
      <c r="D27" s="497"/>
      <c r="E27" s="497"/>
      <c r="F27" s="497"/>
      <c r="G27" s="498"/>
      <c r="I27" s="497">
        <v>17300</v>
      </c>
    </row>
    <row r="28" spans="1:9" ht="12.75">
      <c r="A28" s="500"/>
      <c r="B28" s="499"/>
      <c r="C28" s="497"/>
      <c r="D28" s="497">
        <f>(C27+C29)*0.5</f>
        <v>6.73</v>
      </c>
      <c r="E28" s="497">
        <f>I29-I27</f>
        <v>25</v>
      </c>
      <c r="F28" s="497">
        <f>D28*E28</f>
        <v>168.25</v>
      </c>
      <c r="G28" s="498">
        <f>F28*0.1</f>
        <v>16.8</v>
      </c>
      <c r="I28" s="497"/>
    </row>
    <row r="29" spans="1:9" ht="12.75">
      <c r="A29" s="501">
        <v>194</v>
      </c>
      <c r="B29" s="499" t="s">
        <v>200</v>
      </c>
      <c r="C29" s="497">
        <v>6.61</v>
      </c>
      <c r="D29" s="497"/>
      <c r="E29" s="497"/>
      <c r="F29" s="497"/>
      <c r="G29" s="498"/>
      <c r="I29" s="497">
        <v>17325</v>
      </c>
    </row>
    <row r="30" spans="1:9" ht="12.75">
      <c r="A30" s="501"/>
      <c r="B30" s="499"/>
      <c r="C30" s="497"/>
      <c r="D30" s="497">
        <f>(C29+C31)*0.5</f>
        <v>6.58</v>
      </c>
      <c r="E30" s="497">
        <f>I31-I29</f>
        <v>25</v>
      </c>
      <c r="F30" s="497">
        <f>D30*E30</f>
        <v>164.5</v>
      </c>
      <c r="G30" s="498">
        <f>F30*0.1</f>
        <v>16.5</v>
      </c>
      <c r="I30" s="497"/>
    </row>
    <row r="31" spans="1:9" ht="12.75">
      <c r="A31" s="500">
        <v>195</v>
      </c>
      <c r="B31" s="499" t="s">
        <v>199</v>
      </c>
      <c r="C31" s="497">
        <v>6.55</v>
      </c>
      <c r="D31" s="497"/>
      <c r="E31" s="497"/>
      <c r="F31" s="497"/>
      <c r="G31" s="498"/>
      <c r="I31" s="497">
        <v>17350</v>
      </c>
    </row>
    <row r="32" spans="1:9" ht="12.75">
      <c r="A32" s="500"/>
      <c r="B32" s="499"/>
      <c r="C32" s="497"/>
      <c r="D32" s="497">
        <f>(C31+C33)*0.5</f>
        <v>6.88</v>
      </c>
      <c r="E32" s="497">
        <f>I33-I31</f>
        <v>25</v>
      </c>
      <c r="F32" s="497">
        <f>D32*E32</f>
        <v>172</v>
      </c>
      <c r="G32" s="498">
        <f>F32*0.1</f>
        <v>17.2</v>
      </c>
      <c r="I32" s="497"/>
    </row>
    <row r="33" spans="1:9" ht="12.75">
      <c r="A33" s="501">
        <v>196</v>
      </c>
      <c r="B33" s="499" t="s">
        <v>198</v>
      </c>
      <c r="C33" s="497">
        <v>7.21</v>
      </c>
      <c r="D33" s="497"/>
      <c r="E33" s="497"/>
      <c r="F33" s="497"/>
      <c r="G33" s="498"/>
      <c r="I33" s="497">
        <v>17375</v>
      </c>
    </row>
    <row r="34" spans="1:9" ht="12.75">
      <c r="A34" s="501"/>
      <c r="B34" s="499"/>
      <c r="C34" s="497"/>
      <c r="D34" s="497">
        <f>(C33+C35)*0.5</f>
        <v>7.37</v>
      </c>
      <c r="E34" s="497">
        <f>I35-I33</f>
        <v>25</v>
      </c>
      <c r="F34" s="497">
        <f>D34*E34</f>
        <v>184.25</v>
      </c>
      <c r="G34" s="498">
        <f>F34*0.1</f>
        <v>18.4</v>
      </c>
      <c r="I34" s="497"/>
    </row>
    <row r="35" spans="1:9" ht="12.75">
      <c r="A35" s="500">
        <v>197</v>
      </c>
      <c r="B35" s="499" t="s">
        <v>210</v>
      </c>
      <c r="C35" s="497">
        <v>7.52</v>
      </c>
      <c r="D35" s="497"/>
      <c r="E35" s="497"/>
      <c r="F35" s="497"/>
      <c r="G35" s="498"/>
      <c r="I35" s="497">
        <v>17400</v>
      </c>
    </row>
    <row r="36" spans="1:9" ht="12.75">
      <c r="A36" s="500"/>
      <c r="B36" s="499"/>
      <c r="C36" s="497"/>
      <c r="D36" s="497">
        <f>(C35+C37)*0.5</f>
        <v>7.28</v>
      </c>
      <c r="E36" s="497">
        <f>I37-I35</f>
        <v>25</v>
      </c>
      <c r="F36" s="497">
        <f>D36*E36</f>
        <v>182</v>
      </c>
      <c r="G36" s="498">
        <f>F36*0.1</f>
        <v>18.2</v>
      </c>
      <c r="I36" s="497"/>
    </row>
    <row r="37" spans="1:9" ht="12.75">
      <c r="A37" s="501">
        <v>198</v>
      </c>
      <c r="B37" s="499" t="s">
        <v>197</v>
      </c>
      <c r="C37" s="497">
        <v>7.03</v>
      </c>
      <c r="D37" s="497"/>
      <c r="E37" s="497"/>
      <c r="F37" s="497"/>
      <c r="G37" s="498"/>
      <c r="I37" s="497">
        <v>17425</v>
      </c>
    </row>
    <row r="38" spans="1:9" ht="12.75">
      <c r="A38" s="501"/>
      <c r="B38" s="499"/>
      <c r="C38" s="497"/>
      <c r="D38" s="497">
        <f>(C37+C39)*0.5</f>
        <v>6.72</v>
      </c>
      <c r="E38" s="497">
        <f>I39-I37</f>
        <v>25</v>
      </c>
      <c r="F38" s="497">
        <f>D38*E38</f>
        <v>168</v>
      </c>
      <c r="G38" s="498">
        <f>F38*0.1</f>
        <v>16.8</v>
      </c>
      <c r="I38" s="497"/>
    </row>
    <row r="39" spans="1:9" ht="12.75">
      <c r="A39" s="500">
        <v>199</v>
      </c>
      <c r="B39" s="499" t="s">
        <v>196</v>
      </c>
      <c r="C39" s="497">
        <v>6.41</v>
      </c>
      <c r="D39" s="497"/>
      <c r="E39" s="497"/>
      <c r="F39" s="497"/>
      <c r="G39" s="498"/>
      <c r="I39" s="497">
        <v>17450</v>
      </c>
    </row>
    <row r="40" spans="1:9" ht="12.75">
      <c r="A40" s="500"/>
      <c r="B40" s="499"/>
      <c r="C40" s="497"/>
      <c r="D40" s="497">
        <f>(C39+C41)*0.5</f>
        <v>6.56</v>
      </c>
      <c r="E40" s="497">
        <f>I41-I39</f>
        <v>25</v>
      </c>
      <c r="F40" s="497">
        <f>D40*E40</f>
        <v>164</v>
      </c>
      <c r="G40" s="498">
        <f>F40*0.1</f>
        <v>16.4</v>
      </c>
      <c r="I40" s="497"/>
    </row>
    <row r="41" spans="1:9" ht="12.75">
      <c r="A41" s="501">
        <v>200</v>
      </c>
      <c r="B41" s="499" t="s">
        <v>211</v>
      </c>
      <c r="C41" s="497">
        <v>6.7</v>
      </c>
      <c r="D41" s="497"/>
      <c r="E41" s="497"/>
      <c r="F41" s="497"/>
      <c r="G41" s="498"/>
      <c r="I41" s="497">
        <v>17475</v>
      </c>
    </row>
    <row r="42" spans="1:9" ht="12.75">
      <c r="A42" s="501"/>
      <c r="B42" s="499"/>
      <c r="C42" s="497"/>
      <c r="D42" s="497">
        <f>(C41+C43)*0.5</f>
        <v>5.11</v>
      </c>
      <c r="E42" s="497">
        <f>I43-I41</f>
        <v>15.24</v>
      </c>
      <c r="F42" s="497">
        <f>D42*E42</f>
        <v>77.88</v>
      </c>
      <c r="G42" s="498">
        <f>F42*0.1</f>
        <v>7.8</v>
      </c>
      <c r="I42" s="497"/>
    </row>
    <row r="43" spans="1:9" ht="12.75">
      <c r="A43" s="500">
        <v>201</v>
      </c>
      <c r="B43" s="499" t="s">
        <v>212</v>
      </c>
      <c r="C43" s="497">
        <v>3.51</v>
      </c>
      <c r="D43" s="497"/>
      <c r="E43" s="497"/>
      <c r="F43" s="497"/>
      <c r="G43" s="498"/>
      <c r="I43" s="497">
        <v>17490.24</v>
      </c>
    </row>
    <row r="44" spans="1:9" ht="12.75">
      <c r="A44" s="500"/>
      <c r="B44" s="499"/>
      <c r="C44" s="497"/>
      <c r="D44" s="497">
        <f>(C43+C45)*0.5</f>
        <v>4.94</v>
      </c>
      <c r="E44" s="497">
        <f>I45-I43</f>
        <v>18.97</v>
      </c>
      <c r="F44" s="497">
        <f>D44*E44</f>
        <v>93.71</v>
      </c>
      <c r="G44" s="498">
        <f>F44*0.1</f>
        <v>9.4</v>
      </c>
      <c r="I44" s="497"/>
    </row>
    <row r="45" spans="1:9" ht="12.75">
      <c r="A45" s="501">
        <v>202</v>
      </c>
      <c r="B45" s="499" t="s">
        <v>203</v>
      </c>
      <c r="C45" s="497">
        <v>6.36</v>
      </c>
      <c r="D45" s="497"/>
      <c r="E45" s="497"/>
      <c r="F45" s="497"/>
      <c r="G45" s="498"/>
      <c r="I45" s="497">
        <v>17509.21</v>
      </c>
    </row>
    <row r="46" spans="1:9" ht="12.75">
      <c r="A46" s="501"/>
      <c r="B46" s="499"/>
      <c r="C46" s="497"/>
      <c r="D46" s="497">
        <f>(C45+C47)*0.5</f>
        <v>6.69</v>
      </c>
      <c r="E46" s="497">
        <f>I47-I45</f>
        <v>18.95</v>
      </c>
      <c r="F46" s="497">
        <f>D46*E46</f>
        <v>126.78</v>
      </c>
      <c r="G46" s="498">
        <f>F46*0.1</f>
        <v>12.7</v>
      </c>
      <c r="I46" s="497"/>
    </row>
    <row r="47" spans="1:9" ht="12.75">
      <c r="A47" s="500">
        <v>203</v>
      </c>
      <c r="B47" s="499" t="s">
        <v>202</v>
      </c>
      <c r="C47" s="497">
        <v>7.02</v>
      </c>
      <c r="D47" s="497"/>
      <c r="E47" s="497"/>
      <c r="F47" s="497"/>
      <c r="G47" s="498"/>
      <c r="I47" s="497">
        <v>17528.16</v>
      </c>
    </row>
    <row r="48" spans="1:9" ht="12.75">
      <c r="A48" s="500"/>
      <c r="B48" s="499"/>
      <c r="C48" s="497"/>
      <c r="D48" s="497">
        <f>(C47+C49)*0.5</f>
        <v>6.63</v>
      </c>
      <c r="E48" s="497">
        <f>I49-I47</f>
        <v>21.84</v>
      </c>
      <c r="F48" s="497">
        <f>D48*E48</f>
        <v>144.8</v>
      </c>
      <c r="G48" s="498">
        <f>F48*0.1</f>
        <v>14.5</v>
      </c>
      <c r="I48" s="497"/>
    </row>
    <row r="49" spans="1:9" ht="12.75">
      <c r="A49" s="501">
        <v>204</v>
      </c>
      <c r="B49" s="499" t="s">
        <v>201</v>
      </c>
      <c r="C49" s="497">
        <v>6.23</v>
      </c>
      <c r="D49" s="497"/>
      <c r="E49" s="497"/>
      <c r="F49" s="497"/>
      <c r="G49" s="498"/>
      <c r="I49" s="497">
        <v>17550</v>
      </c>
    </row>
    <row r="50" spans="1:9" ht="12.75">
      <c r="A50" s="501"/>
      <c r="B50" s="499"/>
      <c r="C50" s="497"/>
      <c r="D50" s="497">
        <f>(C49+C51)*0.5</f>
        <v>6.24</v>
      </c>
      <c r="E50" s="497">
        <f>I51-I49</f>
        <v>25</v>
      </c>
      <c r="F50" s="497">
        <f>D50*E50</f>
        <v>156</v>
      </c>
      <c r="G50" s="498">
        <f>F50*0.1</f>
        <v>15.6</v>
      </c>
      <c r="I50" s="497"/>
    </row>
    <row r="51" spans="1:9" ht="12.75">
      <c r="A51" s="500">
        <v>205</v>
      </c>
      <c r="B51" s="499" t="s">
        <v>213</v>
      </c>
      <c r="C51" s="497">
        <v>6.25</v>
      </c>
      <c r="D51" s="497"/>
      <c r="E51" s="497"/>
      <c r="F51" s="497"/>
      <c r="G51" s="498"/>
      <c r="I51" s="497">
        <v>17575</v>
      </c>
    </row>
    <row r="52" spans="1:9" ht="12.75">
      <c r="A52" s="500"/>
      <c r="B52" s="499"/>
      <c r="C52" s="497"/>
      <c r="D52" s="497">
        <f>(C51+C53)*0.5</f>
        <v>7.31</v>
      </c>
      <c r="E52" s="497">
        <f>I53-I51</f>
        <v>25</v>
      </c>
      <c r="F52" s="497">
        <f>D52*E52</f>
        <v>182.75</v>
      </c>
      <c r="G52" s="498">
        <f>F52*0.1</f>
        <v>18.3</v>
      </c>
      <c r="I52" s="497"/>
    </row>
    <row r="53" spans="1:9" ht="12.75">
      <c r="A53" s="501">
        <v>206</v>
      </c>
      <c r="B53" s="499" t="s">
        <v>214</v>
      </c>
      <c r="C53" s="497">
        <v>8.37</v>
      </c>
      <c r="D53" s="497"/>
      <c r="E53" s="497"/>
      <c r="F53" s="497"/>
      <c r="G53" s="498"/>
      <c r="I53" s="497">
        <v>17600</v>
      </c>
    </row>
    <row r="54" spans="1:9" ht="12.75">
      <c r="A54" s="501"/>
      <c r="B54" s="499"/>
      <c r="C54" s="497"/>
      <c r="D54" s="497">
        <f>(C53+C55)*0.5</f>
        <v>8.23</v>
      </c>
      <c r="E54" s="497">
        <f>I55-I53</f>
        <v>25</v>
      </c>
      <c r="F54" s="497">
        <f>D54*E54</f>
        <v>205.75</v>
      </c>
      <c r="G54" s="498">
        <f>F54*0.1</f>
        <v>20.6</v>
      </c>
      <c r="I54" s="497"/>
    </row>
    <row r="55" spans="1:9" ht="12.75">
      <c r="A55" s="500">
        <v>207</v>
      </c>
      <c r="B55" s="499" t="s">
        <v>215</v>
      </c>
      <c r="C55" s="497">
        <v>8.09</v>
      </c>
      <c r="D55" s="497"/>
      <c r="E55" s="497"/>
      <c r="F55" s="497"/>
      <c r="G55" s="498"/>
      <c r="I55" s="497">
        <v>17625</v>
      </c>
    </row>
    <row r="56" spans="1:9" ht="12.75">
      <c r="A56" s="500"/>
      <c r="B56" s="499"/>
      <c r="C56" s="497"/>
      <c r="D56" s="497">
        <f>(C55+C57)*0.5</f>
        <v>8</v>
      </c>
      <c r="E56" s="497">
        <f>I57-I55</f>
        <v>25</v>
      </c>
      <c r="F56" s="497">
        <f>D56*E56</f>
        <v>200</v>
      </c>
      <c r="G56" s="498">
        <f>F56*0.1</f>
        <v>20</v>
      </c>
      <c r="I56" s="497"/>
    </row>
    <row r="57" spans="1:9" ht="12.75">
      <c r="A57" s="501">
        <v>208</v>
      </c>
      <c r="B57" s="499" t="s">
        <v>216</v>
      </c>
      <c r="C57" s="497">
        <v>7.9</v>
      </c>
      <c r="D57" s="497"/>
      <c r="E57" s="497"/>
      <c r="F57" s="497"/>
      <c r="G57" s="498"/>
      <c r="I57" s="497">
        <v>17650</v>
      </c>
    </row>
    <row r="58" spans="1:9" ht="12.75">
      <c r="A58" s="501"/>
      <c r="B58" s="499"/>
      <c r="C58" s="497"/>
      <c r="D58" s="497">
        <f>(C57+C59)*0.5</f>
        <v>7.81</v>
      </c>
      <c r="E58" s="497">
        <f>I59-I57</f>
        <v>25</v>
      </c>
      <c r="F58" s="497">
        <f>D58*E58</f>
        <v>195.25</v>
      </c>
      <c r="G58" s="498">
        <f>F58*0.1</f>
        <v>19.5</v>
      </c>
      <c r="I58" s="497"/>
    </row>
    <row r="59" spans="1:9" ht="12.75">
      <c r="A59" s="500">
        <v>209</v>
      </c>
      <c r="B59" s="499" t="s">
        <v>217</v>
      </c>
      <c r="C59" s="497">
        <v>7.71</v>
      </c>
      <c r="D59" s="497"/>
      <c r="E59" s="497"/>
      <c r="F59" s="497"/>
      <c r="G59" s="498"/>
      <c r="I59" s="497">
        <v>17675</v>
      </c>
    </row>
    <row r="60" spans="1:9" ht="12.75">
      <c r="A60" s="500"/>
      <c r="B60" s="499"/>
      <c r="C60" s="497"/>
      <c r="D60" s="497">
        <f>(C59+C61)*0.5</f>
        <v>7.3</v>
      </c>
      <c r="E60" s="497">
        <f>I61-I59</f>
        <v>25</v>
      </c>
      <c r="F60" s="497">
        <f>D60*E60</f>
        <v>182.5</v>
      </c>
      <c r="G60" s="498">
        <f>F60*0.1</f>
        <v>18.3</v>
      </c>
      <c r="I60" s="497"/>
    </row>
    <row r="61" spans="1:9" ht="12.75">
      <c r="A61" s="501">
        <v>210</v>
      </c>
      <c r="B61" s="499" t="s">
        <v>218</v>
      </c>
      <c r="C61" s="497">
        <v>6.89</v>
      </c>
      <c r="D61" s="497"/>
      <c r="E61" s="497"/>
      <c r="F61" s="497"/>
      <c r="G61" s="498"/>
      <c r="I61" s="497">
        <v>17700</v>
      </c>
    </row>
    <row r="62" spans="1:9" ht="12.75">
      <c r="A62" s="501"/>
      <c r="B62" s="499"/>
      <c r="C62" s="497"/>
      <c r="D62" s="497">
        <f>(C61+C63)*0.5</f>
        <v>6.75</v>
      </c>
      <c r="E62" s="497">
        <f>I63-I61</f>
        <v>25.04</v>
      </c>
      <c r="F62" s="497">
        <f>D62*E62</f>
        <v>169.02</v>
      </c>
      <c r="G62" s="498">
        <f>F62*0.1</f>
        <v>16.9</v>
      </c>
      <c r="I62" s="497"/>
    </row>
    <row r="63" spans="1:9" ht="12.75">
      <c r="A63" s="500">
        <v>211</v>
      </c>
      <c r="B63" s="511" t="s">
        <v>270</v>
      </c>
      <c r="C63" s="497">
        <v>6.6</v>
      </c>
      <c r="D63" s="497"/>
      <c r="E63" s="497"/>
      <c r="F63" s="497"/>
      <c r="G63" s="498"/>
      <c r="I63" s="497">
        <v>17725.04</v>
      </c>
    </row>
    <row r="64" spans="1:9" ht="12.75">
      <c r="A64" s="500"/>
      <c r="B64" s="512"/>
      <c r="C64" s="497"/>
      <c r="D64" s="497">
        <f>(C63+C65)*0.5</f>
        <v>7.34</v>
      </c>
      <c r="E64" s="497">
        <f>I65-I63</f>
        <v>24.96</v>
      </c>
      <c r="F64" s="497">
        <f>D64*E64</f>
        <v>183.21</v>
      </c>
      <c r="G64" s="498">
        <f>F64*0.1</f>
        <v>18.3</v>
      </c>
      <c r="I64" s="497"/>
    </row>
    <row r="65" spans="1:9" ht="12.75">
      <c r="A65" s="501">
        <v>212</v>
      </c>
      <c r="B65" s="511" t="s">
        <v>271</v>
      </c>
      <c r="C65" s="497">
        <v>8.08</v>
      </c>
      <c r="D65" s="497"/>
      <c r="E65" s="497"/>
      <c r="F65" s="497"/>
      <c r="G65" s="498"/>
      <c r="I65" s="497">
        <v>17750</v>
      </c>
    </row>
    <row r="66" spans="1:9" ht="12.75">
      <c r="A66" s="501"/>
      <c r="B66" s="512"/>
      <c r="C66" s="497"/>
      <c r="D66" s="497">
        <f>(C65+C67)*0.5</f>
        <v>8.08</v>
      </c>
      <c r="E66" s="497">
        <f>I67-I65</f>
        <v>25</v>
      </c>
      <c r="F66" s="497">
        <f>D66*E66</f>
        <v>202</v>
      </c>
      <c r="G66" s="498">
        <f>F66*0.1</f>
        <v>20.2</v>
      </c>
      <c r="I66" s="497"/>
    </row>
    <row r="67" spans="1:9" ht="12.75">
      <c r="A67" s="500">
        <v>213</v>
      </c>
      <c r="B67" s="499" t="s">
        <v>272</v>
      </c>
      <c r="C67" s="497">
        <v>8.08</v>
      </c>
      <c r="D67" s="497"/>
      <c r="E67" s="497"/>
      <c r="F67" s="497"/>
      <c r="G67" s="498"/>
      <c r="I67" s="497">
        <v>17775</v>
      </c>
    </row>
    <row r="68" spans="1:9" ht="12.75">
      <c r="A68" s="500"/>
      <c r="B68" s="499"/>
      <c r="C68" s="497"/>
      <c r="D68" s="497">
        <f>(C67+C69)*0.5</f>
        <v>8.26</v>
      </c>
      <c r="E68" s="497">
        <f>I69-I67</f>
        <v>25</v>
      </c>
      <c r="F68" s="497">
        <f>D68*E68</f>
        <v>206.5</v>
      </c>
      <c r="G68" s="498">
        <f>F68*0.1</f>
        <v>20.7</v>
      </c>
      <c r="I68" s="497"/>
    </row>
    <row r="69" spans="1:9" ht="12.75">
      <c r="A69" s="501">
        <v>214</v>
      </c>
      <c r="B69" s="499" t="s">
        <v>273</v>
      </c>
      <c r="C69" s="497">
        <v>8.43</v>
      </c>
      <c r="D69" s="497"/>
      <c r="E69" s="497"/>
      <c r="F69" s="497"/>
      <c r="G69" s="498"/>
      <c r="I69" s="497">
        <v>17800</v>
      </c>
    </row>
    <row r="70" spans="1:9" ht="12.75">
      <c r="A70" s="501"/>
      <c r="B70" s="499"/>
      <c r="C70" s="497"/>
      <c r="D70" s="497">
        <f>(C69+C71)*0.5</f>
        <v>8.01</v>
      </c>
      <c r="E70" s="497">
        <f>I71-I69</f>
        <v>25</v>
      </c>
      <c r="F70" s="497">
        <f>D70*E70</f>
        <v>200.25</v>
      </c>
      <c r="G70" s="498">
        <f>F70*0.1</f>
        <v>20</v>
      </c>
      <c r="I70" s="497"/>
    </row>
    <row r="71" spans="1:9" ht="12.75">
      <c r="A71" s="500">
        <v>215</v>
      </c>
      <c r="B71" s="499" t="s">
        <v>274</v>
      </c>
      <c r="C71" s="497">
        <v>7.58</v>
      </c>
      <c r="D71" s="497"/>
      <c r="E71" s="497"/>
      <c r="F71" s="497"/>
      <c r="G71" s="498"/>
      <c r="I71" s="497">
        <v>17825</v>
      </c>
    </row>
    <row r="72" spans="1:9" ht="12.75">
      <c r="A72" s="500"/>
      <c r="B72" s="499"/>
      <c r="C72" s="497"/>
      <c r="D72" s="497">
        <f>(C71+C73)*0.5</f>
        <v>7.35</v>
      </c>
      <c r="E72" s="497">
        <f>I73-I71</f>
        <v>25</v>
      </c>
      <c r="F72" s="497">
        <f>D72*E72</f>
        <v>183.75</v>
      </c>
      <c r="G72" s="498">
        <f>F72*0.1</f>
        <v>18.4</v>
      </c>
      <c r="I72" s="497"/>
    </row>
    <row r="73" spans="1:9" ht="12.75">
      <c r="A73" s="501">
        <v>216</v>
      </c>
      <c r="B73" s="499" t="s">
        <v>275</v>
      </c>
      <c r="C73" s="497">
        <v>7.11</v>
      </c>
      <c r="D73" s="497"/>
      <c r="E73" s="497"/>
      <c r="F73" s="497"/>
      <c r="G73" s="498"/>
      <c r="I73" s="497">
        <v>17850</v>
      </c>
    </row>
    <row r="74" spans="1:9" ht="12.75">
      <c r="A74" s="501"/>
      <c r="B74" s="499"/>
      <c r="C74" s="497"/>
      <c r="D74" s="497">
        <f>(C73+C75)*0.5</f>
        <v>6.86</v>
      </c>
      <c r="E74" s="497">
        <f>I75-I73</f>
        <v>25</v>
      </c>
      <c r="F74" s="497">
        <f>D74*E74</f>
        <v>171.5</v>
      </c>
      <c r="G74" s="498">
        <f>F74*0.1</f>
        <v>17.2</v>
      </c>
      <c r="I74" s="497"/>
    </row>
    <row r="75" spans="1:9" ht="11.25" customHeight="1">
      <c r="A75" s="500">
        <v>217</v>
      </c>
      <c r="B75" s="499" t="s">
        <v>276</v>
      </c>
      <c r="C75" s="497">
        <v>6.61</v>
      </c>
      <c r="D75" s="497"/>
      <c r="E75" s="497"/>
      <c r="F75" s="497"/>
      <c r="G75" s="498"/>
      <c r="I75" s="497">
        <v>17875</v>
      </c>
    </row>
    <row r="76" spans="1:9" ht="11.25" customHeight="1">
      <c r="A76" s="500"/>
      <c r="B76" s="499"/>
      <c r="C76" s="497"/>
      <c r="D76" s="497">
        <f>(C75+C77)*0.5</f>
        <v>6.56</v>
      </c>
      <c r="E76" s="497">
        <f>I77-I75</f>
        <v>25</v>
      </c>
      <c r="F76" s="497">
        <f>D76*E76</f>
        <v>164</v>
      </c>
      <c r="G76" s="498">
        <f>F76*0.1</f>
        <v>16.4</v>
      </c>
      <c r="I76" s="497"/>
    </row>
    <row r="77" spans="1:9" ht="11.25" customHeight="1">
      <c r="A77" s="501">
        <v>218</v>
      </c>
      <c r="B77" s="499" t="s">
        <v>393</v>
      </c>
      <c r="C77" s="497">
        <v>6.51</v>
      </c>
      <c r="D77" s="497"/>
      <c r="E77" s="497"/>
      <c r="F77" s="497"/>
      <c r="G77" s="498"/>
      <c r="I77" s="499">
        <v>17900</v>
      </c>
    </row>
    <row r="78" spans="1:9" ht="11.25" customHeight="1">
      <c r="A78" s="501"/>
      <c r="B78" s="499"/>
      <c r="C78" s="497"/>
      <c r="D78" s="497">
        <f>(C77+C79)*0.5</f>
        <v>4.69</v>
      </c>
      <c r="E78" s="497">
        <f>I79-I77</f>
        <v>25</v>
      </c>
      <c r="F78" s="497">
        <f>D78*E78</f>
        <v>117.25</v>
      </c>
      <c r="G78" s="498">
        <f>F78*0.1</f>
        <v>11.7</v>
      </c>
      <c r="I78" s="499"/>
    </row>
    <row r="79" spans="1:9" ht="11.25" customHeight="1">
      <c r="A79" s="500">
        <v>219</v>
      </c>
      <c r="B79" s="499" t="s">
        <v>394</v>
      </c>
      <c r="C79" s="497">
        <v>2.86</v>
      </c>
      <c r="D79" s="497"/>
      <c r="E79" s="497"/>
      <c r="F79" s="497"/>
      <c r="G79" s="498"/>
      <c r="I79" s="499">
        <v>17925</v>
      </c>
    </row>
    <row r="80" spans="1:9" ht="11.25" customHeight="1">
      <c r="A80" s="500"/>
      <c r="B80" s="499"/>
      <c r="C80" s="497"/>
      <c r="D80" s="382"/>
      <c r="E80" s="382"/>
      <c r="F80" s="382"/>
      <c r="G80" s="383"/>
      <c r="I80" s="499"/>
    </row>
    <row r="81" spans="4:9" ht="15.75" customHeight="1">
      <c r="D81" s="515" t="s">
        <v>57</v>
      </c>
      <c r="E81" s="515"/>
      <c r="F81" s="47">
        <f>SUM(F8:F80)</f>
        <v>6100.5</v>
      </c>
      <c r="G81" s="47">
        <f>SUM(G8:G80)</f>
        <v>610.4</v>
      </c>
      <c r="I81" s="499"/>
    </row>
    <row r="82" ht="12.75">
      <c r="I82" s="499"/>
    </row>
  </sheetData>
  <sheetProtection/>
  <mergeCells count="301">
    <mergeCell ref="I71:I72"/>
    <mergeCell ref="I73:I74"/>
    <mergeCell ref="I75:I76"/>
    <mergeCell ref="E72:E73"/>
    <mergeCell ref="F72:F73"/>
    <mergeCell ref="G72:G73"/>
    <mergeCell ref="E70:E71"/>
    <mergeCell ref="F70:F71"/>
    <mergeCell ref="G70:G71"/>
    <mergeCell ref="I69:I70"/>
    <mergeCell ref="D74:D75"/>
    <mergeCell ref="E74:E75"/>
    <mergeCell ref="F74:F75"/>
    <mergeCell ref="G74:G75"/>
    <mergeCell ref="G66:G67"/>
    <mergeCell ref="D68:D69"/>
    <mergeCell ref="E68:E69"/>
    <mergeCell ref="F68:F69"/>
    <mergeCell ref="G68:G69"/>
    <mergeCell ref="D70:D71"/>
    <mergeCell ref="D62:D63"/>
    <mergeCell ref="E62:E63"/>
    <mergeCell ref="F62:F63"/>
    <mergeCell ref="G62:G63"/>
    <mergeCell ref="D64:D65"/>
    <mergeCell ref="E64:E65"/>
    <mergeCell ref="F64:F65"/>
    <mergeCell ref="G64:G65"/>
    <mergeCell ref="A75:A76"/>
    <mergeCell ref="B75:B76"/>
    <mergeCell ref="C75:C76"/>
    <mergeCell ref="D60:D61"/>
    <mergeCell ref="E60:E61"/>
    <mergeCell ref="F60:F61"/>
    <mergeCell ref="D66:D67"/>
    <mergeCell ref="E66:E67"/>
    <mergeCell ref="F66:F67"/>
    <mergeCell ref="D72:D73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I61:I62"/>
    <mergeCell ref="I63:I64"/>
    <mergeCell ref="I65:I66"/>
    <mergeCell ref="B65:B66"/>
    <mergeCell ref="C65:C66"/>
    <mergeCell ref="G60:G61"/>
    <mergeCell ref="I67:I68"/>
    <mergeCell ref="I51:I52"/>
    <mergeCell ref="I53:I54"/>
    <mergeCell ref="I55:I56"/>
    <mergeCell ref="I57:I58"/>
    <mergeCell ref="I59:I60"/>
    <mergeCell ref="I39:I40"/>
    <mergeCell ref="I41:I42"/>
    <mergeCell ref="I43:I44"/>
    <mergeCell ref="I45:I46"/>
    <mergeCell ref="I47:I48"/>
    <mergeCell ref="I49:I50"/>
    <mergeCell ref="I27:I28"/>
    <mergeCell ref="I29:I30"/>
    <mergeCell ref="I31:I32"/>
    <mergeCell ref="I33:I34"/>
    <mergeCell ref="I35:I36"/>
    <mergeCell ref="I37:I38"/>
    <mergeCell ref="I15:I16"/>
    <mergeCell ref="I17:I18"/>
    <mergeCell ref="I19:I20"/>
    <mergeCell ref="I21:I22"/>
    <mergeCell ref="I23:I24"/>
    <mergeCell ref="I25:I26"/>
    <mergeCell ref="D56:D57"/>
    <mergeCell ref="E56:E57"/>
    <mergeCell ref="F56:F57"/>
    <mergeCell ref="G56:G57"/>
    <mergeCell ref="D58:D59"/>
    <mergeCell ref="E58:E59"/>
    <mergeCell ref="F58:F59"/>
    <mergeCell ref="G58:G59"/>
    <mergeCell ref="D52:D53"/>
    <mergeCell ref="E52:E53"/>
    <mergeCell ref="F52:F53"/>
    <mergeCell ref="G52:G53"/>
    <mergeCell ref="D54:D55"/>
    <mergeCell ref="E54:E55"/>
    <mergeCell ref="F54:F55"/>
    <mergeCell ref="G54:G55"/>
    <mergeCell ref="D48:D49"/>
    <mergeCell ref="E48:E49"/>
    <mergeCell ref="F48:F49"/>
    <mergeCell ref="G48:G49"/>
    <mergeCell ref="D50:D51"/>
    <mergeCell ref="E50:E51"/>
    <mergeCell ref="F50:F51"/>
    <mergeCell ref="G50:G51"/>
    <mergeCell ref="D44:D45"/>
    <mergeCell ref="E44:E45"/>
    <mergeCell ref="F44:F45"/>
    <mergeCell ref="G44:G45"/>
    <mergeCell ref="D46:D47"/>
    <mergeCell ref="E46:E47"/>
    <mergeCell ref="F46:F47"/>
    <mergeCell ref="G46:G47"/>
    <mergeCell ref="D40:D41"/>
    <mergeCell ref="E40:E41"/>
    <mergeCell ref="F40:F41"/>
    <mergeCell ref="G40:G41"/>
    <mergeCell ref="D42:D43"/>
    <mergeCell ref="E42:E43"/>
    <mergeCell ref="F42:F43"/>
    <mergeCell ref="G42:G43"/>
    <mergeCell ref="E36:E37"/>
    <mergeCell ref="F36:F37"/>
    <mergeCell ref="G36:G37"/>
    <mergeCell ref="D38:D39"/>
    <mergeCell ref="E38:E39"/>
    <mergeCell ref="F38:F39"/>
    <mergeCell ref="G38:G39"/>
    <mergeCell ref="E32:E33"/>
    <mergeCell ref="F32:F33"/>
    <mergeCell ref="G32:G33"/>
    <mergeCell ref="D34:D35"/>
    <mergeCell ref="E34:E35"/>
    <mergeCell ref="F34:F35"/>
    <mergeCell ref="G34:G35"/>
    <mergeCell ref="E28:E29"/>
    <mergeCell ref="F28:F29"/>
    <mergeCell ref="G28:G29"/>
    <mergeCell ref="D30:D31"/>
    <mergeCell ref="E30:E31"/>
    <mergeCell ref="F30:F31"/>
    <mergeCell ref="G30:G31"/>
    <mergeCell ref="E18:E19"/>
    <mergeCell ref="E24:E25"/>
    <mergeCell ref="F24:F25"/>
    <mergeCell ref="G24:G25"/>
    <mergeCell ref="D26:D27"/>
    <mergeCell ref="E26:E27"/>
    <mergeCell ref="F26:F27"/>
    <mergeCell ref="G26:G27"/>
    <mergeCell ref="D24:D25"/>
    <mergeCell ref="D20:D21"/>
    <mergeCell ref="E20:E21"/>
    <mergeCell ref="F20:F21"/>
    <mergeCell ref="G20:G21"/>
    <mergeCell ref="D22:D23"/>
    <mergeCell ref="E22:E23"/>
    <mergeCell ref="F22:F23"/>
    <mergeCell ref="G22:G23"/>
    <mergeCell ref="F18:F19"/>
    <mergeCell ref="D14:D15"/>
    <mergeCell ref="E14:E15"/>
    <mergeCell ref="F14:F15"/>
    <mergeCell ref="G14:G15"/>
    <mergeCell ref="D16:D17"/>
    <mergeCell ref="E16:E17"/>
    <mergeCell ref="F16:F17"/>
    <mergeCell ref="G16:G17"/>
    <mergeCell ref="G18:G19"/>
    <mergeCell ref="C53:C54"/>
    <mergeCell ref="C55:C56"/>
    <mergeCell ref="C57:C58"/>
    <mergeCell ref="C59:C60"/>
    <mergeCell ref="C61:C62"/>
    <mergeCell ref="D12:D13"/>
    <mergeCell ref="D18:D19"/>
    <mergeCell ref="D28:D29"/>
    <mergeCell ref="D32:D33"/>
    <mergeCell ref="D36:D37"/>
    <mergeCell ref="C41:C42"/>
    <mergeCell ref="C43:C44"/>
    <mergeCell ref="C45:C46"/>
    <mergeCell ref="C47:C48"/>
    <mergeCell ref="C49:C50"/>
    <mergeCell ref="C51:C52"/>
    <mergeCell ref="C29:C30"/>
    <mergeCell ref="C31:C32"/>
    <mergeCell ref="C33:C34"/>
    <mergeCell ref="C35:C36"/>
    <mergeCell ref="C37:C38"/>
    <mergeCell ref="C39:C40"/>
    <mergeCell ref="C17:C18"/>
    <mergeCell ref="C19:C20"/>
    <mergeCell ref="C21:C22"/>
    <mergeCell ref="C23:C24"/>
    <mergeCell ref="C25:C26"/>
    <mergeCell ref="C27:C28"/>
    <mergeCell ref="A53:A54"/>
    <mergeCell ref="B53:B54"/>
    <mergeCell ref="A61:A62"/>
    <mergeCell ref="B61:B62"/>
    <mergeCell ref="A55:A56"/>
    <mergeCell ref="B55:B56"/>
    <mergeCell ref="A57:A58"/>
    <mergeCell ref="B57:B58"/>
    <mergeCell ref="A59:A60"/>
    <mergeCell ref="B59:B60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F10:F11"/>
    <mergeCell ref="G12:G13"/>
    <mergeCell ref="A13:A14"/>
    <mergeCell ref="B13:B14"/>
    <mergeCell ref="A15:A16"/>
    <mergeCell ref="B15:B16"/>
    <mergeCell ref="C15:C16"/>
    <mergeCell ref="E12:E13"/>
    <mergeCell ref="F12:F13"/>
    <mergeCell ref="I7:I8"/>
    <mergeCell ref="D8:D9"/>
    <mergeCell ref="E8:E9"/>
    <mergeCell ref="F8:F9"/>
    <mergeCell ref="D81:E81"/>
    <mergeCell ref="I81:I82"/>
    <mergeCell ref="I11:I12"/>
    <mergeCell ref="I9:I10"/>
    <mergeCell ref="D10:D11"/>
    <mergeCell ref="E10:E11"/>
    <mergeCell ref="A1:G1"/>
    <mergeCell ref="A2:G2"/>
    <mergeCell ref="B4:B5"/>
    <mergeCell ref="C4:C5"/>
    <mergeCell ref="E4:E5"/>
    <mergeCell ref="I13:I14"/>
    <mergeCell ref="C13:C14"/>
    <mergeCell ref="I4:O4"/>
    <mergeCell ref="A7:A8"/>
    <mergeCell ref="B7:B8"/>
    <mergeCell ref="F4:F5"/>
    <mergeCell ref="C11:C12"/>
    <mergeCell ref="G8:G9"/>
    <mergeCell ref="A9:A10"/>
    <mergeCell ref="G10:G11"/>
    <mergeCell ref="A11:A12"/>
    <mergeCell ref="B11:B12"/>
    <mergeCell ref="C7:C8"/>
    <mergeCell ref="B9:B10"/>
    <mergeCell ref="C9:C10"/>
    <mergeCell ref="A77:A78"/>
    <mergeCell ref="B77:B78"/>
    <mergeCell ref="C77:C78"/>
    <mergeCell ref="A79:A80"/>
    <mergeCell ref="B79:B80"/>
    <mergeCell ref="C79:C80"/>
    <mergeCell ref="I77:I78"/>
    <mergeCell ref="I79:I80"/>
    <mergeCell ref="G76:G77"/>
    <mergeCell ref="D78:D79"/>
    <mergeCell ref="E78:E79"/>
    <mergeCell ref="F78:F79"/>
    <mergeCell ref="G78:G79"/>
    <mergeCell ref="D76:D77"/>
    <mergeCell ref="E76:E77"/>
    <mergeCell ref="F76:F77"/>
  </mergeCells>
  <printOptions/>
  <pageMargins left="1.18125" right="0.7875" top="0.7875" bottom="0.78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1"/>
  <sheetViews>
    <sheetView showGridLines="0" view="pageBreakPreview" zoomScale="115" zoomScaleSheetLayoutView="115" zoomScalePageLayoutView="0" workbookViewId="0" topLeftCell="A40">
      <selection activeCell="E78" sqref="E78:E79"/>
    </sheetView>
  </sheetViews>
  <sheetFormatPr defaultColWidth="9.140625" defaultRowHeight="12.75"/>
  <cols>
    <col min="1" max="1" width="6.57421875" style="27" bestFit="1" customWidth="1"/>
    <col min="2" max="2" width="12.421875" style="27" bestFit="1" customWidth="1"/>
    <col min="3" max="6" width="11.00390625" style="27" customWidth="1"/>
    <col min="7" max="7" width="9.8515625" style="27" customWidth="1"/>
    <col min="8" max="8" width="9.140625" style="27" customWidth="1"/>
    <col min="9" max="9" width="11.8515625" style="27" customWidth="1"/>
    <col min="10" max="16384" width="9.140625" style="27" customWidth="1"/>
  </cols>
  <sheetData>
    <row r="1" spans="1:7" s="26" customFormat="1" ht="37.5" customHeight="1">
      <c r="A1" s="502" t="str">
        <f>Przedmiar!A1</f>
        <v>Przebudowa drogi powiatowej nr 1715W  Bróza - Radom w 
km od ok. 17+063,93 do ok. 17+918</v>
      </c>
      <c r="B1" s="502"/>
      <c r="C1" s="502"/>
      <c r="D1" s="502"/>
      <c r="E1" s="502"/>
      <c r="F1" s="502"/>
      <c r="G1" s="502"/>
    </row>
    <row r="2" spans="1:9" ht="14.25">
      <c r="A2" s="514" t="s">
        <v>96</v>
      </c>
      <c r="B2" s="514"/>
      <c r="C2" s="514"/>
      <c r="D2" s="514"/>
      <c r="E2" s="514"/>
      <c r="F2" s="514"/>
      <c r="G2" s="514"/>
      <c r="H2" s="26"/>
      <c r="I2" s="26"/>
    </row>
    <row r="3" spans="1:9" ht="19.5" customHeight="1">
      <c r="A3" s="28"/>
      <c r="B3" s="28"/>
      <c r="C3" s="28"/>
      <c r="D3" s="28"/>
      <c r="E3" s="28"/>
      <c r="F3" s="28"/>
      <c r="G3" s="28"/>
      <c r="H3" s="26"/>
      <c r="I3" s="26"/>
    </row>
    <row r="4" spans="1:15" s="31" customFormat="1" ht="18" customHeight="1">
      <c r="A4" s="39" t="s">
        <v>47</v>
      </c>
      <c r="B4" s="513" t="s">
        <v>48</v>
      </c>
      <c r="C4" s="513" t="s">
        <v>49</v>
      </c>
      <c r="D4" s="39" t="s">
        <v>37</v>
      </c>
      <c r="E4" s="513" t="s">
        <v>38</v>
      </c>
      <c r="F4" s="513" t="s">
        <v>36</v>
      </c>
      <c r="G4" s="40" t="s">
        <v>39</v>
      </c>
      <c r="H4" s="27"/>
      <c r="I4" s="503"/>
      <c r="J4" s="503"/>
      <c r="K4" s="503"/>
      <c r="L4" s="503"/>
      <c r="M4" s="503"/>
      <c r="N4" s="503"/>
      <c r="O4" s="503"/>
    </row>
    <row r="5" spans="1:7" ht="18" customHeight="1">
      <c r="A5" s="41" t="s">
        <v>50</v>
      </c>
      <c r="B5" s="513"/>
      <c r="C5" s="513"/>
      <c r="D5" s="41" t="s">
        <v>51</v>
      </c>
      <c r="E5" s="513"/>
      <c r="F5" s="513"/>
      <c r="G5" s="42" t="s">
        <v>52</v>
      </c>
    </row>
    <row r="6" spans="1:7" ht="12.75">
      <c r="A6" s="43" t="s">
        <v>53</v>
      </c>
      <c r="B6" s="44" t="s">
        <v>53</v>
      </c>
      <c r="C6" s="44" t="s">
        <v>54</v>
      </c>
      <c r="D6" s="44" t="s">
        <v>54</v>
      </c>
      <c r="E6" s="44" t="s">
        <v>54</v>
      </c>
      <c r="F6" s="45" t="s">
        <v>55</v>
      </c>
      <c r="G6" s="45" t="s">
        <v>56</v>
      </c>
    </row>
    <row r="7" spans="1:9" ht="12.75">
      <c r="A7" s="500">
        <v>183</v>
      </c>
      <c r="B7" s="507" t="s">
        <v>191</v>
      </c>
      <c r="C7" s="508">
        <v>5.08</v>
      </c>
      <c r="D7" s="46"/>
      <c r="E7" s="46"/>
      <c r="F7" s="46"/>
      <c r="G7" s="46"/>
      <c r="I7" s="509">
        <v>17064</v>
      </c>
    </row>
    <row r="8" spans="1:9" ht="12.75">
      <c r="A8" s="500"/>
      <c r="B8" s="499"/>
      <c r="C8" s="508"/>
      <c r="D8" s="497">
        <f>(C7+C9)*0.5</f>
        <v>5.31</v>
      </c>
      <c r="E8" s="497">
        <f>I9-I7</f>
        <v>21.16</v>
      </c>
      <c r="F8" s="497">
        <f>D8*E8</f>
        <v>112.36</v>
      </c>
      <c r="G8" s="498">
        <f>F8*0.1</f>
        <v>11.2</v>
      </c>
      <c r="I8" s="510"/>
    </row>
    <row r="9" spans="1:9" ht="12.75">
      <c r="A9" s="501">
        <v>184</v>
      </c>
      <c r="B9" s="499" t="s">
        <v>192</v>
      </c>
      <c r="C9" s="497">
        <v>5.54</v>
      </c>
      <c r="D9" s="497"/>
      <c r="E9" s="497"/>
      <c r="F9" s="497"/>
      <c r="G9" s="498"/>
      <c r="I9" s="497">
        <v>17085.16</v>
      </c>
    </row>
    <row r="10" spans="1:9" ht="12.75">
      <c r="A10" s="501"/>
      <c r="B10" s="499"/>
      <c r="C10" s="497"/>
      <c r="D10" s="497">
        <f>(C9+C11)*0.5</f>
        <v>4.21</v>
      </c>
      <c r="E10" s="497">
        <f>I11-I9</f>
        <v>20.58</v>
      </c>
      <c r="F10" s="497">
        <f>D10*E10</f>
        <v>86.64</v>
      </c>
      <c r="G10" s="498">
        <f>F10*0.1</f>
        <v>8.7</v>
      </c>
      <c r="I10" s="497"/>
    </row>
    <row r="11" spans="1:9" ht="12.75">
      <c r="A11" s="500">
        <v>185</v>
      </c>
      <c r="B11" s="499" t="s">
        <v>193</v>
      </c>
      <c r="C11" s="497">
        <v>2.87</v>
      </c>
      <c r="D11" s="497"/>
      <c r="E11" s="497"/>
      <c r="F11" s="497"/>
      <c r="G11" s="498"/>
      <c r="I11" s="497">
        <v>17105.74</v>
      </c>
    </row>
    <row r="12" spans="1:9" ht="12.75">
      <c r="A12" s="500"/>
      <c r="B12" s="499"/>
      <c r="C12" s="497"/>
      <c r="D12" s="497">
        <f>(C11+C13)*0.5</f>
        <v>4.24</v>
      </c>
      <c r="E12" s="497">
        <f>I13-I11</f>
        <v>19.26</v>
      </c>
      <c r="F12" s="497">
        <f>D12*E12</f>
        <v>81.66</v>
      </c>
      <c r="G12" s="498">
        <f>F12*0.1</f>
        <v>8.2</v>
      </c>
      <c r="I12" s="497"/>
    </row>
    <row r="13" spans="1:9" ht="12.75">
      <c r="A13" s="501">
        <v>186</v>
      </c>
      <c r="B13" s="499" t="s">
        <v>194</v>
      </c>
      <c r="C13" s="497">
        <v>5.61</v>
      </c>
      <c r="D13" s="497"/>
      <c r="E13" s="497"/>
      <c r="F13" s="497"/>
      <c r="G13" s="498"/>
      <c r="I13" s="497">
        <v>17125</v>
      </c>
    </row>
    <row r="14" spans="1:9" ht="12.75">
      <c r="A14" s="501"/>
      <c r="B14" s="499"/>
      <c r="C14" s="497"/>
      <c r="D14" s="497">
        <f>(C13+C15)*0.5</f>
        <v>5.58</v>
      </c>
      <c r="E14" s="497">
        <f>I15-I13</f>
        <v>25</v>
      </c>
      <c r="F14" s="497">
        <f>D14*E14</f>
        <v>139.5</v>
      </c>
      <c r="G14" s="498">
        <f>F14*0.1</f>
        <v>14</v>
      </c>
      <c r="I14" s="497"/>
    </row>
    <row r="15" spans="1:9" ht="12.75">
      <c r="A15" s="500">
        <v>187</v>
      </c>
      <c r="B15" s="499" t="s">
        <v>195</v>
      </c>
      <c r="C15" s="497">
        <v>5.54</v>
      </c>
      <c r="D15" s="497"/>
      <c r="E15" s="497"/>
      <c r="F15" s="497"/>
      <c r="G15" s="498"/>
      <c r="I15" s="497">
        <v>17150</v>
      </c>
    </row>
    <row r="16" spans="1:9" ht="12.75">
      <c r="A16" s="500"/>
      <c r="B16" s="499"/>
      <c r="C16" s="497"/>
      <c r="D16" s="497">
        <f>(C15+C17)*0.5</f>
        <v>5.61</v>
      </c>
      <c r="E16" s="497">
        <f>I17-I15</f>
        <v>25</v>
      </c>
      <c r="F16" s="497">
        <f>D16*E16</f>
        <v>140.25</v>
      </c>
      <c r="G16" s="498">
        <f>F16*0.1</f>
        <v>14</v>
      </c>
      <c r="I16" s="497"/>
    </row>
    <row r="17" spans="1:9" ht="12.75">
      <c r="A17" s="501">
        <v>188</v>
      </c>
      <c r="B17" s="499" t="s">
        <v>206</v>
      </c>
      <c r="C17" s="497">
        <v>5.67</v>
      </c>
      <c r="D17" s="497"/>
      <c r="E17" s="497"/>
      <c r="F17" s="497"/>
      <c r="G17" s="498"/>
      <c r="I17" s="497">
        <v>17175</v>
      </c>
    </row>
    <row r="18" spans="1:9" ht="12.75">
      <c r="A18" s="501"/>
      <c r="B18" s="499"/>
      <c r="C18" s="497"/>
      <c r="D18" s="497">
        <f>(C17+C19)*0.5</f>
        <v>5.85</v>
      </c>
      <c r="E18" s="497">
        <f>I19-I17</f>
        <v>25</v>
      </c>
      <c r="F18" s="497">
        <f>D18*E18</f>
        <v>146.25</v>
      </c>
      <c r="G18" s="498">
        <f>F18*0.1</f>
        <v>14.6</v>
      </c>
      <c r="I18" s="497"/>
    </row>
    <row r="19" spans="1:9" ht="12.75">
      <c r="A19" s="500">
        <v>189</v>
      </c>
      <c r="B19" s="499" t="s">
        <v>207</v>
      </c>
      <c r="C19" s="497">
        <v>6.02</v>
      </c>
      <c r="D19" s="497"/>
      <c r="E19" s="497"/>
      <c r="F19" s="497"/>
      <c r="G19" s="498"/>
      <c r="I19" s="497">
        <v>17200</v>
      </c>
    </row>
    <row r="20" spans="1:9" ht="12.75">
      <c r="A20" s="500"/>
      <c r="B20" s="499"/>
      <c r="C20" s="497"/>
      <c r="D20" s="497">
        <f>(C19+C21)*0.5</f>
        <v>5.81</v>
      </c>
      <c r="E20" s="497">
        <f>I21-I19</f>
        <v>25</v>
      </c>
      <c r="F20" s="497">
        <f>D20*E20</f>
        <v>145.25</v>
      </c>
      <c r="G20" s="498">
        <f>F20*0.1</f>
        <v>14.5</v>
      </c>
      <c r="I20" s="497"/>
    </row>
    <row r="21" spans="1:9" ht="12.75">
      <c r="A21" s="501">
        <v>190</v>
      </c>
      <c r="B21" s="499" t="s">
        <v>205</v>
      </c>
      <c r="C21" s="497">
        <v>5.6</v>
      </c>
      <c r="D21" s="497"/>
      <c r="E21" s="497"/>
      <c r="F21" s="497"/>
      <c r="G21" s="498"/>
      <c r="I21" s="497">
        <v>17225</v>
      </c>
    </row>
    <row r="22" spans="1:9" ht="12.75">
      <c r="A22" s="501"/>
      <c r="B22" s="499"/>
      <c r="C22" s="497"/>
      <c r="D22" s="497">
        <f>(C21+C23)*0.5</f>
        <v>5.9</v>
      </c>
      <c r="E22" s="497">
        <f>I23-I21</f>
        <v>25</v>
      </c>
      <c r="F22" s="497">
        <f>D22*E22</f>
        <v>147.5</v>
      </c>
      <c r="G22" s="498">
        <f>F22*0.1</f>
        <v>14.8</v>
      </c>
      <c r="I22" s="497"/>
    </row>
    <row r="23" spans="1:9" ht="12.75">
      <c r="A23" s="500">
        <v>191</v>
      </c>
      <c r="B23" s="499" t="s">
        <v>204</v>
      </c>
      <c r="C23" s="497">
        <v>6.2</v>
      </c>
      <c r="D23" s="497"/>
      <c r="E23" s="497"/>
      <c r="F23" s="497"/>
      <c r="G23" s="498"/>
      <c r="I23" s="497">
        <v>17250</v>
      </c>
    </row>
    <row r="24" spans="1:9" ht="12.75">
      <c r="A24" s="500"/>
      <c r="B24" s="499"/>
      <c r="C24" s="497"/>
      <c r="D24" s="497">
        <f>(C23+C25)*0.5</f>
        <v>5.85</v>
      </c>
      <c r="E24" s="497">
        <f>I25-I23</f>
        <v>25</v>
      </c>
      <c r="F24" s="497">
        <f>D24*E24</f>
        <v>146.25</v>
      </c>
      <c r="G24" s="498">
        <f>F24*0.1</f>
        <v>14.6</v>
      </c>
      <c r="I24" s="497"/>
    </row>
    <row r="25" spans="1:9" ht="12.75">
      <c r="A25" s="501">
        <v>192</v>
      </c>
      <c r="B25" s="499" t="s">
        <v>208</v>
      </c>
      <c r="C25" s="497">
        <v>5.49</v>
      </c>
      <c r="D25" s="497"/>
      <c r="E25" s="497"/>
      <c r="F25" s="497"/>
      <c r="G25" s="498"/>
      <c r="I25" s="497">
        <v>17275</v>
      </c>
    </row>
    <row r="26" spans="1:9" ht="12.75">
      <c r="A26" s="501"/>
      <c r="B26" s="499"/>
      <c r="C26" s="497"/>
      <c r="D26" s="497">
        <f>(C25+C27)*0.5</f>
        <v>5.14</v>
      </c>
      <c r="E26" s="497">
        <f>I27-I25</f>
        <v>25</v>
      </c>
      <c r="F26" s="497">
        <f>D26*E26</f>
        <v>128.5</v>
      </c>
      <c r="G26" s="498">
        <f>F26*0.1</f>
        <v>12.9</v>
      </c>
      <c r="I26" s="497"/>
    </row>
    <row r="27" spans="1:9" ht="12.75">
      <c r="A27" s="500">
        <v>193</v>
      </c>
      <c r="B27" s="499" t="s">
        <v>209</v>
      </c>
      <c r="C27" s="497">
        <v>4.79</v>
      </c>
      <c r="D27" s="497"/>
      <c r="E27" s="497"/>
      <c r="F27" s="497"/>
      <c r="G27" s="498"/>
      <c r="I27" s="497">
        <v>17300</v>
      </c>
    </row>
    <row r="28" spans="1:9" ht="12.75">
      <c r="A28" s="500"/>
      <c r="B28" s="499"/>
      <c r="C28" s="497"/>
      <c r="D28" s="497">
        <f>(C27+C29)*0.5</f>
        <v>4.56</v>
      </c>
      <c r="E28" s="497">
        <f>I29-I27</f>
        <v>25</v>
      </c>
      <c r="F28" s="497">
        <f>D28*E28</f>
        <v>114</v>
      </c>
      <c r="G28" s="498">
        <f>F28*0.1</f>
        <v>11.4</v>
      </c>
      <c r="I28" s="497"/>
    </row>
    <row r="29" spans="1:9" ht="12.75">
      <c r="A29" s="501">
        <v>194</v>
      </c>
      <c r="B29" s="499" t="s">
        <v>200</v>
      </c>
      <c r="C29" s="497">
        <v>4.33</v>
      </c>
      <c r="D29" s="497"/>
      <c r="E29" s="497"/>
      <c r="F29" s="497"/>
      <c r="G29" s="498"/>
      <c r="I29" s="497">
        <v>17325</v>
      </c>
    </row>
    <row r="30" spans="1:9" ht="12.75">
      <c r="A30" s="501"/>
      <c r="B30" s="499"/>
      <c r="C30" s="497"/>
      <c r="D30" s="497">
        <f>(C29+C31)*0.5</f>
        <v>4.02</v>
      </c>
      <c r="E30" s="497">
        <f>I31-I29</f>
        <v>25</v>
      </c>
      <c r="F30" s="497">
        <f>D30*E30</f>
        <v>100.5</v>
      </c>
      <c r="G30" s="498">
        <f>F30*0.1</f>
        <v>10.1</v>
      </c>
      <c r="I30" s="497"/>
    </row>
    <row r="31" spans="1:9" ht="12.75">
      <c r="A31" s="500">
        <v>195</v>
      </c>
      <c r="B31" s="499" t="s">
        <v>199</v>
      </c>
      <c r="C31" s="497">
        <v>3.7</v>
      </c>
      <c r="D31" s="497"/>
      <c r="E31" s="497"/>
      <c r="F31" s="497"/>
      <c r="G31" s="498"/>
      <c r="I31" s="497">
        <v>17350</v>
      </c>
    </row>
    <row r="32" spans="1:9" ht="12.75">
      <c r="A32" s="500"/>
      <c r="B32" s="499"/>
      <c r="C32" s="497"/>
      <c r="D32" s="497">
        <f>(C31+C33)*0.5</f>
        <v>3.91</v>
      </c>
      <c r="E32" s="497">
        <f>I33-I31</f>
        <v>25</v>
      </c>
      <c r="F32" s="497">
        <f>D32*E32</f>
        <v>97.75</v>
      </c>
      <c r="G32" s="498">
        <f>F32*0.1</f>
        <v>9.8</v>
      </c>
      <c r="I32" s="497"/>
    </row>
    <row r="33" spans="1:9" ht="12.75">
      <c r="A33" s="501">
        <v>196</v>
      </c>
      <c r="B33" s="499" t="s">
        <v>198</v>
      </c>
      <c r="C33" s="497">
        <v>4.11</v>
      </c>
      <c r="D33" s="497"/>
      <c r="E33" s="497"/>
      <c r="F33" s="497"/>
      <c r="G33" s="498"/>
      <c r="I33" s="497">
        <v>17375</v>
      </c>
    </row>
    <row r="34" spans="1:9" ht="12.75">
      <c r="A34" s="501"/>
      <c r="B34" s="499"/>
      <c r="C34" s="497"/>
      <c r="D34" s="497">
        <f>(C33+C35)*0.5</f>
        <v>4.25</v>
      </c>
      <c r="E34" s="497">
        <f>I35-I33</f>
        <v>25</v>
      </c>
      <c r="F34" s="497">
        <f>D34*E34</f>
        <v>106.25</v>
      </c>
      <c r="G34" s="498">
        <f>F34*0.1</f>
        <v>10.6</v>
      </c>
      <c r="I34" s="497"/>
    </row>
    <row r="35" spans="1:9" ht="12.75">
      <c r="A35" s="500">
        <v>197</v>
      </c>
      <c r="B35" s="499" t="s">
        <v>210</v>
      </c>
      <c r="C35" s="497">
        <v>4.39</v>
      </c>
      <c r="D35" s="497"/>
      <c r="E35" s="497"/>
      <c r="F35" s="497"/>
      <c r="G35" s="498"/>
      <c r="I35" s="497">
        <v>17400</v>
      </c>
    </row>
    <row r="36" spans="1:9" ht="12.75">
      <c r="A36" s="500"/>
      <c r="B36" s="499"/>
      <c r="C36" s="497"/>
      <c r="D36" s="497">
        <f>(C35+C37)*0.5</f>
        <v>4.26</v>
      </c>
      <c r="E36" s="497">
        <f>I37-I35</f>
        <v>25</v>
      </c>
      <c r="F36" s="497">
        <f>D36*E36</f>
        <v>106.5</v>
      </c>
      <c r="G36" s="498">
        <f>F36*0.1</f>
        <v>10.7</v>
      </c>
      <c r="I36" s="497"/>
    </row>
    <row r="37" spans="1:9" ht="12.75">
      <c r="A37" s="501">
        <v>198</v>
      </c>
      <c r="B37" s="499" t="s">
        <v>197</v>
      </c>
      <c r="C37" s="497">
        <v>4.13</v>
      </c>
      <c r="D37" s="497"/>
      <c r="E37" s="497"/>
      <c r="F37" s="497"/>
      <c r="G37" s="498"/>
      <c r="I37" s="497">
        <v>17425</v>
      </c>
    </row>
    <row r="38" spans="1:9" ht="12.75">
      <c r="A38" s="501"/>
      <c r="B38" s="499"/>
      <c r="C38" s="497"/>
      <c r="D38" s="497">
        <f>(C37+C39)*0.5</f>
        <v>3.83</v>
      </c>
      <c r="E38" s="497">
        <f>I39-I37</f>
        <v>25</v>
      </c>
      <c r="F38" s="497">
        <f>D38*E38</f>
        <v>95.75</v>
      </c>
      <c r="G38" s="498">
        <f>F38*0.1</f>
        <v>9.6</v>
      </c>
      <c r="I38" s="497"/>
    </row>
    <row r="39" spans="1:9" ht="12.75">
      <c r="A39" s="500">
        <v>199</v>
      </c>
      <c r="B39" s="499" t="s">
        <v>196</v>
      </c>
      <c r="C39" s="497">
        <v>3.52</v>
      </c>
      <c r="D39" s="497"/>
      <c r="E39" s="497"/>
      <c r="F39" s="497"/>
      <c r="G39" s="498"/>
      <c r="I39" s="497">
        <v>17450</v>
      </c>
    </row>
    <row r="40" spans="1:9" ht="12.75">
      <c r="A40" s="500"/>
      <c r="B40" s="499"/>
      <c r="C40" s="497"/>
      <c r="D40" s="497">
        <f>(C39+C41)*0.5</f>
        <v>3.67</v>
      </c>
      <c r="E40" s="497">
        <f>I41-I39</f>
        <v>25</v>
      </c>
      <c r="F40" s="497">
        <f>D40*E40</f>
        <v>91.75</v>
      </c>
      <c r="G40" s="498">
        <f>F40*0.1</f>
        <v>9.2</v>
      </c>
      <c r="I40" s="497"/>
    </row>
    <row r="41" spans="1:9" ht="12.75">
      <c r="A41" s="501">
        <v>200</v>
      </c>
      <c r="B41" s="499" t="s">
        <v>211</v>
      </c>
      <c r="C41" s="497">
        <v>3.81</v>
      </c>
      <c r="D41" s="497"/>
      <c r="E41" s="497"/>
      <c r="F41" s="497"/>
      <c r="G41" s="498"/>
      <c r="I41" s="497">
        <v>17475</v>
      </c>
    </row>
    <row r="42" spans="1:9" ht="12.75">
      <c r="A42" s="501"/>
      <c r="B42" s="499"/>
      <c r="C42" s="497"/>
      <c r="D42" s="497">
        <f>(C41+C43)*0.5</f>
        <v>2.75</v>
      </c>
      <c r="E42" s="497">
        <f>I43-I41</f>
        <v>15.24</v>
      </c>
      <c r="F42" s="497">
        <f>D42*E42</f>
        <v>41.91</v>
      </c>
      <c r="G42" s="498">
        <f>F42*0.1</f>
        <v>4.2</v>
      </c>
      <c r="I42" s="497"/>
    </row>
    <row r="43" spans="1:9" ht="12.75">
      <c r="A43" s="500">
        <v>201</v>
      </c>
      <c r="B43" s="499" t="s">
        <v>212</v>
      </c>
      <c r="C43" s="497">
        <v>1.68</v>
      </c>
      <c r="D43" s="497"/>
      <c r="E43" s="497"/>
      <c r="F43" s="497"/>
      <c r="G43" s="498"/>
      <c r="I43" s="497">
        <v>17490.24</v>
      </c>
    </row>
    <row r="44" spans="1:9" ht="12.75">
      <c r="A44" s="500"/>
      <c r="B44" s="499"/>
      <c r="C44" s="497"/>
      <c r="D44" s="497">
        <f>(C43+C45)*0.5</f>
        <v>2.93</v>
      </c>
      <c r="E44" s="497">
        <f>I45-I43</f>
        <v>18.97</v>
      </c>
      <c r="F44" s="497">
        <f>D44*E44</f>
        <v>55.58</v>
      </c>
      <c r="G44" s="498">
        <f>F44*0.1</f>
        <v>5.6</v>
      </c>
      <c r="I44" s="497"/>
    </row>
    <row r="45" spans="1:9" ht="12.75">
      <c r="A45" s="501">
        <v>202</v>
      </c>
      <c r="B45" s="499" t="s">
        <v>203</v>
      </c>
      <c r="C45" s="497">
        <v>4.17</v>
      </c>
      <c r="D45" s="497"/>
      <c r="E45" s="497"/>
      <c r="F45" s="497"/>
      <c r="G45" s="498"/>
      <c r="I45" s="497">
        <v>17509.21</v>
      </c>
    </row>
    <row r="46" spans="1:9" ht="12.75">
      <c r="A46" s="501"/>
      <c r="B46" s="499"/>
      <c r="C46" s="497"/>
      <c r="D46" s="497">
        <f>(C45+C47)*0.5</f>
        <v>4.56</v>
      </c>
      <c r="E46" s="497">
        <f>I47-I45</f>
        <v>18.95</v>
      </c>
      <c r="F46" s="497">
        <f>D46*E46</f>
        <v>86.41</v>
      </c>
      <c r="G46" s="498">
        <f>F46*0.1</f>
        <v>8.6</v>
      </c>
      <c r="I46" s="497"/>
    </row>
    <row r="47" spans="1:9" ht="12.75">
      <c r="A47" s="500">
        <v>203</v>
      </c>
      <c r="B47" s="499" t="s">
        <v>202</v>
      </c>
      <c r="C47" s="497">
        <v>4.95</v>
      </c>
      <c r="D47" s="497"/>
      <c r="E47" s="497"/>
      <c r="F47" s="497"/>
      <c r="G47" s="498"/>
      <c r="I47" s="497">
        <v>17528.16</v>
      </c>
    </row>
    <row r="48" spans="1:9" ht="12.75">
      <c r="A48" s="500"/>
      <c r="B48" s="499"/>
      <c r="C48" s="497"/>
      <c r="D48" s="497">
        <f>(C47+C49)*0.5</f>
        <v>4.51</v>
      </c>
      <c r="E48" s="497">
        <f>I49-I47</f>
        <v>21.84</v>
      </c>
      <c r="F48" s="497">
        <f>D48*E48</f>
        <v>98.5</v>
      </c>
      <c r="G48" s="498">
        <f>F48*0.1</f>
        <v>9.9</v>
      </c>
      <c r="I48" s="497"/>
    </row>
    <row r="49" spans="1:9" ht="12.75">
      <c r="A49" s="501">
        <v>204</v>
      </c>
      <c r="B49" s="499" t="s">
        <v>201</v>
      </c>
      <c r="C49" s="497">
        <v>4.07</v>
      </c>
      <c r="D49" s="497"/>
      <c r="E49" s="497"/>
      <c r="F49" s="497"/>
      <c r="G49" s="498"/>
      <c r="I49" s="497">
        <v>17550</v>
      </c>
    </row>
    <row r="50" spans="1:9" ht="12.75">
      <c r="A50" s="501"/>
      <c r="B50" s="499"/>
      <c r="C50" s="497"/>
      <c r="D50" s="497">
        <f>(C49+C51)*0.5</f>
        <v>4.04</v>
      </c>
      <c r="E50" s="497">
        <f>I51-I49</f>
        <v>25</v>
      </c>
      <c r="F50" s="497">
        <f>D50*E50</f>
        <v>101</v>
      </c>
      <c r="G50" s="498">
        <f>F50*0.1</f>
        <v>10.1</v>
      </c>
      <c r="I50" s="497"/>
    </row>
    <row r="51" spans="1:9" ht="12.75">
      <c r="A51" s="500">
        <v>205</v>
      </c>
      <c r="B51" s="499" t="s">
        <v>213</v>
      </c>
      <c r="C51" s="497">
        <v>4</v>
      </c>
      <c r="D51" s="497"/>
      <c r="E51" s="497"/>
      <c r="F51" s="497"/>
      <c r="G51" s="498"/>
      <c r="I51" s="497">
        <v>17575</v>
      </c>
    </row>
    <row r="52" spans="1:9" ht="12.75">
      <c r="A52" s="500"/>
      <c r="B52" s="499"/>
      <c r="C52" s="497"/>
      <c r="D52" s="497">
        <f>(C51+C53)*0.5</f>
        <v>5.12</v>
      </c>
      <c r="E52" s="497">
        <f>I53-I51</f>
        <v>25</v>
      </c>
      <c r="F52" s="497">
        <f>D52*E52</f>
        <v>128</v>
      </c>
      <c r="G52" s="498">
        <f>F52*0.1</f>
        <v>12.8</v>
      </c>
      <c r="I52" s="497"/>
    </row>
    <row r="53" spans="1:9" ht="12.75">
      <c r="A53" s="501">
        <v>206</v>
      </c>
      <c r="B53" s="499" t="s">
        <v>214</v>
      </c>
      <c r="C53" s="497">
        <v>6.23</v>
      </c>
      <c r="D53" s="497"/>
      <c r="E53" s="497"/>
      <c r="F53" s="497"/>
      <c r="G53" s="498"/>
      <c r="I53" s="497">
        <v>17600</v>
      </c>
    </row>
    <row r="54" spans="1:9" ht="12.75">
      <c r="A54" s="501"/>
      <c r="B54" s="499"/>
      <c r="C54" s="497"/>
      <c r="D54" s="497">
        <f>(C53+C55)*0.5</f>
        <v>6.18</v>
      </c>
      <c r="E54" s="497">
        <f>I55-I53</f>
        <v>25</v>
      </c>
      <c r="F54" s="497">
        <f>D54*E54</f>
        <v>154.5</v>
      </c>
      <c r="G54" s="498">
        <f>F54*0.1</f>
        <v>15.5</v>
      </c>
      <c r="I54" s="497"/>
    </row>
    <row r="55" spans="1:9" ht="12.75">
      <c r="A55" s="500">
        <v>207</v>
      </c>
      <c r="B55" s="499" t="s">
        <v>215</v>
      </c>
      <c r="C55" s="497">
        <v>6.12</v>
      </c>
      <c r="D55" s="497"/>
      <c r="E55" s="497"/>
      <c r="F55" s="497"/>
      <c r="G55" s="498"/>
      <c r="I55" s="497">
        <v>17625</v>
      </c>
    </row>
    <row r="56" spans="1:9" ht="12.75">
      <c r="A56" s="500"/>
      <c r="B56" s="499"/>
      <c r="C56" s="497"/>
      <c r="D56" s="497">
        <f>(C55+C57)*0.5</f>
        <v>5.98</v>
      </c>
      <c r="E56" s="497">
        <f>I57-I55</f>
        <v>25</v>
      </c>
      <c r="F56" s="497">
        <f>D56*E56</f>
        <v>149.5</v>
      </c>
      <c r="G56" s="498">
        <f>F56*0.1</f>
        <v>15</v>
      </c>
      <c r="I56" s="497"/>
    </row>
    <row r="57" spans="1:9" ht="12.75">
      <c r="A57" s="501">
        <v>208</v>
      </c>
      <c r="B57" s="499" t="s">
        <v>216</v>
      </c>
      <c r="C57" s="497">
        <v>5.84</v>
      </c>
      <c r="D57" s="497"/>
      <c r="E57" s="497"/>
      <c r="F57" s="497"/>
      <c r="G57" s="498"/>
      <c r="I57" s="497">
        <v>17650</v>
      </c>
    </row>
    <row r="58" spans="1:9" ht="12.75">
      <c r="A58" s="501"/>
      <c r="B58" s="499"/>
      <c r="C58" s="497"/>
      <c r="D58" s="497">
        <f>(C57+C59)*0.5</f>
        <v>5.71</v>
      </c>
      <c r="E58" s="497">
        <f>I59-I57</f>
        <v>25</v>
      </c>
      <c r="F58" s="497">
        <f>D58*E58</f>
        <v>142.75</v>
      </c>
      <c r="G58" s="498">
        <f>F58*0.1</f>
        <v>14.3</v>
      </c>
      <c r="I58" s="497"/>
    </row>
    <row r="59" spans="1:9" ht="12.75">
      <c r="A59" s="500">
        <v>209</v>
      </c>
      <c r="B59" s="499" t="s">
        <v>217</v>
      </c>
      <c r="C59" s="497">
        <v>5.57</v>
      </c>
      <c r="D59" s="497"/>
      <c r="E59" s="497"/>
      <c r="F59" s="497"/>
      <c r="G59" s="498"/>
      <c r="I59" s="497">
        <v>17675</v>
      </c>
    </row>
    <row r="60" spans="1:9" ht="12.75">
      <c r="A60" s="500"/>
      <c r="B60" s="499"/>
      <c r="C60" s="497"/>
      <c r="D60" s="497">
        <f>(C59+C61)*0.5</f>
        <v>4.69</v>
      </c>
      <c r="E60" s="497">
        <f>I61-I59</f>
        <v>25</v>
      </c>
      <c r="F60" s="497">
        <f>D60*E60</f>
        <v>117.25</v>
      </c>
      <c r="G60" s="498">
        <f>F60*0.1</f>
        <v>11.7</v>
      </c>
      <c r="I60" s="497"/>
    </row>
    <row r="61" spans="1:9" ht="12.75">
      <c r="A61" s="501">
        <v>210</v>
      </c>
      <c r="B61" s="499" t="s">
        <v>218</v>
      </c>
      <c r="C61" s="497">
        <v>3.8</v>
      </c>
      <c r="D61" s="497"/>
      <c r="E61" s="497"/>
      <c r="F61" s="497"/>
      <c r="G61" s="498"/>
      <c r="I61" s="497">
        <v>17700</v>
      </c>
    </row>
    <row r="62" spans="1:9" ht="12.75">
      <c r="A62" s="501"/>
      <c r="B62" s="499"/>
      <c r="C62" s="497"/>
      <c r="D62" s="497">
        <f>(C61+C63)*0.5</f>
        <v>3.74</v>
      </c>
      <c r="E62" s="497">
        <f>I63-I61</f>
        <v>25.04</v>
      </c>
      <c r="F62" s="497">
        <f>D62*E62</f>
        <v>93.65</v>
      </c>
      <c r="G62" s="498">
        <f>F62*0.1</f>
        <v>9.4</v>
      </c>
      <c r="I62" s="497"/>
    </row>
    <row r="63" spans="1:9" ht="12.75">
      <c r="A63" s="500">
        <v>211</v>
      </c>
      <c r="B63" s="511" t="s">
        <v>270</v>
      </c>
      <c r="C63" s="497">
        <v>3.68</v>
      </c>
      <c r="D63" s="497"/>
      <c r="E63" s="497"/>
      <c r="F63" s="497"/>
      <c r="G63" s="498"/>
      <c r="I63" s="497">
        <v>17725.04</v>
      </c>
    </row>
    <row r="64" spans="1:9" ht="12.75">
      <c r="A64" s="500"/>
      <c r="B64" s="512"/>
      <c r="C64" s="497"/>
      <c r="D64" s="497">
        <f>(C63+C65)*0.5</f>
        <v>4.11</v>
      </c>
      <c r="E64" s="497">
        <f>I65-I63</f>
        <v>24.96</v>
      </c>
      <c r="F64" s="497">
        <f>D64*E64</f>
        <v>102.59</v>
      </c>
      <c r="G64" s="498">
        <f>F64*0.1</f>
        <v>10.3</v>
      </c>
      <c r="I64" s="497"/>
    </row>
    <row r="65" spans="1:9" ht="12.75">
      <c r="A65" s="501">
        <v>212</v>
      </c>
      <c r="B65" s="511" t="s">
        <v>271</v>
      </c>
      <c r="C65" s="497">
        <v>4.54</v>
      </c>
      <c r="D65" s="497"/>
      <c r="E65" s="497"/>
      <c r="F65" s="497"/>
      <c r="G65" s="498"/>
      <c r="I65" s="497">
        <v>17750</v>
      </c>
    </row>
    <row r="66" spans="1:9" ht="12.75">
      <c r="A66" s="501"/>
      <c r="B66" s="512"/>
      <c r="C66" s="497"/>
      <c r="D66" s="497">
        <f>(C65+C67)*0.5</f>
        <v>5.03</v>
      </c>
      <c r="E66" s="497">
        <f>I67-I65</f>
        <v>25</v>
      </c>
      <c r="F66" s="497">
        <f>D66*E66</f>
        <v>125.75</v>
      </c>
      <c r="G66" s="498">
        <f>F66*0.1</f>
        <v>12.6</v>
      </c>
      <c r="I66" s="497"/>
    </row>
    <row r="67" spans="1:9" ht="12.75">
      <c r="A67" s="500">
        <v>213</v>
      </c>
      <c r="B67" s="499" t="s">
        <v>272</v>
      </c>
      <c r="C67" s="497">
        <v>5.51</v>
      </c>
      <c r="D67" s="497"/>
      <c r="E67" s="497"/>
      <c r="F67" s="497"/>
      <c r="G67" s="498"/>
      <c r="I67" s="497">
        <v>17775</v>
      </c>
    </row>
    <row r="68" spans="1:9" ht="12.75">
      <c r="A68" s="500"/>
      <c r="B68" s="499"/>
      <c r="C68" s="497"/>
      <c r="D68" s="497">
        <f>(C67+C69)*0.5</f>
        <v>5.7</v>
      </c>
      <c r="E68" s="497">
        <f>I69-I67</f>
        <v>25</v>
      </c>
      <c r="F68" s="497">
        <f>D68*E68</f>
        <v>142.5</v>
      </c>
      <c r="G68" s="498">
        <f>F68*0.1</f>
        <v>14.3</v>
      </c>
      <c r="I68" s="497"/>
    </row>
    <row r="69" spans="1:9" ht="12.75">
      <c r="A69" s="501">
        <v>214</v>
      </c>
      <c r="B69" s="499" t="s">
        <v>273</v>
      </c>
      <c r="C69" s="497">
        <v>5.88</v>
      </c>
      <c r="D69" s="497"/>
      <c r="E69" s="497"/>
      <c r="F69" s="497"/>
      <c r="G69" s="498"/>
      <c r="I69" s="497">
        <v>17800</v>
      </c>
    </row>
    <row r="70" spans="1:9" ht="12.75">
      <c r="A70" s="501"/>
      <c r="B70" s="499"/>
      <c r="C70" s="497"/>
      <c r="D70" s="497">
        <f>(C69+C71)*0.5</f>
        <v>5.47</v>
      </c>
      <c r="E70" s="497">
        <f>I71-I69</f>
        <v>25</v>
      </c>
      <c r="F70" s="497">
        <f>D70*E70</f>
        <v>136.75</v>
      </c>
      <c r="G70" s="498">
        <f>F70*0.1</f>
        <v>13.7</v>
      </c>
      <c r="I70" s="497"/>
    </row>
    <row r="71" spans="1:9" ht="12.75">
      <c r="A71" s="500">
        <v>215</v>
      </c>
      <c r="B71" s="499" t="s">
        <v>274</v>
      </c>
      <c r="C71" s="497">
        <v>5.06</v>
      </c>
      <c r="D71" s="497"/>
      <c r="E71" s="497"/>
      <c r="F71" s="497"/>
      <c r="G71" s="498"/>
      <c r="I71" s="497">
        <v>17825</v>
      </c>
    </row>
    <row r="72" spans="1:9" ht="12.75">
      <c r="A72" s="500"/>
      <c r="B72" s="499"/>
      <c r="C72" s="497"/>
      <c r="D72" s="497">
        <f>(C71+C73)*0.5</f>
        <v>4.93</v>
      </c>
      <c r="E72" s="497">
        <f>I73-I71</f>
        <v>25</v>
      </c>
      <c r="F72" s="497">
        <f>D72*E72</f>
        <v>123.25</v>
      </c>
      <c r="G72" s="498">
        <f>F72*0.1</f>
        <v>12.3</v>
      </c>
      <c r="I72" s="497"/>
    </row>
    <row r="73" spans="1:9" ht="12.75">
      <c r="A73" s="501">
        <v>216</v>
      </c>
      <c r="B73" s="499" t="s">
        <v>275</v>
      </c>
      <c r="C73" s="497">
        <v>4.8</v>
      </c>
      <c r="D73" s="497"/>
      <c r="E73" s="497"/>
      <c r="F73" s="497"/>
      <c r="G73" s="498"/>
      <c r="I73" s="497">
        <v>17850</v>
      </c>
    </row>
    <row r="74" spans="1:9" ht="12.75">
      <c r="A74" s="501"/>
      <c r="B74" s="499"/>
      <c r="C74" s="497"/>
      <c r="D74" s="497">
        <f>(C73+C75)*0.5</f>
        <v>4.07</v>
      </c>
      <c r="E74" s="497">
        <f>I75-I73</f>
        <v>25</v>
      </c>
      <c r="F74" s="497">
        <f>D74*E74</f>
        <v>101.75</v>
      </c>
      <c r="G74" s="498">
        <f>F74*0.1</f>
        <v>10.2</v>
      </c>
      <c r="I74" s="497"/>
    </row>
    <row r="75" spans="1:9" ht="12.75">
      <c r="A75" s="500">
        <v>217</v>
      </c>
      <c r="B75" s="499" t="s">
        <v>276</v>
      </c>
      <c r="C75" s="497">
        <v>3.34</v>
      </c>
      <c r="D75" s="497"/>
      <c r="E75" s="497"/>
      <c r="F75" s="497"/>
      <c r="G75" s="498"/>
      <c r="I75" s="497">
        <v>17875</v>
      </c>
    </row>
    <row r="76" spans="1:9" ht="12.75">
      <c r="A76" s="500"/>
      <c r="B76" s="499"/>
      <c r="C76" s="497"/>
      <c r="D76" s="497">
        <f>(C75+C77)*0.5</f>
        <v>3.26</v>
      </c>
      <c r="E76" s="497">
        <f>I77-I75</f>
        <v>25</v>
      </c>
      <c r="F76" s="497">
        <f>D76*E76</f>
        <v>81.5</v>
      </c>
      <c r="G76" s="498">
        <f>F76*0.1</f>
        <v>8.2</v>
      </c>
      <c r="I76" s="497"/>
    </row>
    <row r="77" spans="1:9" ht="12.75">
      <c r="A77" s="501">
        <v>218</v>
      </c>
      <c r="B77" s="499" t="s">
        <v>393</v>
      </c>
      <c r="C77" s="497">
        <v>3.17</v>
      </c>
      <c r="D77" s="497"/>
      <c r="E77" s="497"/>
      <c r="F77" s="497"/>
      <c r="G77" s="498"/>
      <c r="I77" s="499">
        <v>17900</v>
      </c>
    </row>
    <row r="78" spans="1:9" ht="12.75">
      <c r="A78" s="501"/>
      <c r="B78" s="499"/>
      <c r="C78" s="497"/>
      <c r="D78" s="497">
        <f>(C77+C79)*0.5</f>
        <v>1.91</v>
      </c>
      <c r="E78" s="497">
        <f>I79-I77</f>
        <v>25</v>
      </c>
      <c r="F78" s="497">
        <f>D78*E78</f>
        <v>47.75</v>
      </c>
      <c r="G78" s="498">
        <f>F78*0.1</f>
        <v>4.8</v>
      </c>
      <c r="I78" s="499"/>
    </row>
    <row r="79" spans="1:9" ht="12.75">
      <c r="A79" s="500">
        <v>219</v>
      </c>
      <c r="B79" s="499" t="s">
        <v>394</v>
      </c>
      <c r="C79" s="497">
        <v>0.65</v>
      </c>
      <c r="D79" s="497"/>
      <c r="E79" s="497"/>
      <c r="F79" s="497"/>
      <c r="G79" s="498"/>
      <c r="I79" s="499">
        <v>17925</v>
      </c>
    </row>
    <row r="80" spans="1:9" ht="12.75">
      <c r="A80" s="500"/>
      <c r="B80" s="499"/>
      <c r="C80" s="497"/>
      <c r="D80" s="382"/>
      <c r="E80" s="382"/>
      <c r="F80" s="382"/>
      <c r="G80" s="383"/>
      <c r="I80" s="499"/>
    </row>
    <row r="81" spans="4:7" ht="15.75" customHeight="1">
      <c r="D81" s="515" t="s">
        <v>57</v>
      </c>
      <c r="E81" s="515"/>
      <c r="F81" s="47">
        <f>SUM(F8:F80)</f>
        <v>4017.6</v>
      </c>
      <c r="G81" s="47">
        <f>SUM(G8:G80)</f>
        <v>402.4</v>
      </c>
    </row>
  </sheetData>
  <sheetProtection/>
  <mergeCells count="300">
    <mergeCell ref="I73:I74"/>
    <mergeCell ref="I75:I76"/>
    <mergeCell ref="I61:I62"/>
    <mergeCell ref="I63:I64"/>
    <mergeCell ref="I65:I66"/>
    <mergeCell ref="I67:I68"/>
    <mergeCell ref="I69:I70"/>
    <mergeCell ref="I71:I72"/>
    <mergeCell ref="D72:D73"/>
    <mergeCell ref="E72:E73"/>
    <mergeCell ref="F72:F73"/>
    <mergeCell ref="G72:G73"/>
    <mergeCell ref="D74:D75"/>
    <mergeCell ref="E74:E75"/>
    <mergeCell ref="F74:F75"/>
    <mergeCell ref="G74:G75"/>
    <mergeCell ref="D68:D69"/>
    <mergeCell ref="E68:E69"/>
    <mergeCell ref="F68:F69"/>
    <mergeCell ref="G68:G69"/>
    <mergeCell ref="D70:D71"/>
    <mergeCell ref="E70:E71"/>
    <mergeCell ref="F70:F71"/>
    <mergeCell ref="G70:G71"/>
    <mergeCell ref="D64:D65"/>
    <mergeCell ref="E64:E65"/>
    <mergeCell ref="F64:F65"/>
    <mergeCell ref="G64:G65"/>
    <mergeCell ref="D66:D67"/>
    <mergeCell ref="E66:E67"/>
    <mergeCell ref="F66:F67"/>
    <mergeCell ref="G66:G67"/>
    <mergeCell ref="B73:B74"/>
    <mergeCell ref="C73:C74"/>
    <mergeCell ref="D60:D61"/>
    <mergeCell ref="E60:E61"/>
    <mergeCell ref="F60:F61"/>
    <mergeCell ref="G60:G61"/>
    <mergeCell ref="D62:D63"/>
    <mergeCell ref="E62:E63"/>
    <mergeCell ref="F62:F63"/>
    <mergeCell ref="G62:G63"/>
    <mergeCell ref="A69:A70"/>
    <mergeCell ref="B69:B70"/>
    <mergeCell ref="C69:C70"/>
    <mergeCell ref="A75:A76"/>
    <mergeCell ref="B75:B76"/>
    <mergeCell ref="C75:C76"/>
    <mergeCell ref="A71:A72"/>
    <mergeCell ref="B71:B72"/>
    <mergeCell ref="C71:C72"/>
    <mergeCell ref="A73:A74"/>
    <mergeCell ref="C63:C64"/>
    <mergeCell ref="A65:A66"/>
    <mergeCell ref="B65:B66"/>
    <mergeCell ref="C65:C66"/>
    <mergeCell ref="A67:A68"/>
    <mergeCell ref="B67:B68"/>
    <mergeCell ref="C67:C68"/>
    <mergeCell ref="D81:E81"/>
    <mergeCell ref="C61:C62"/>
    <mergeCell ref="A59:A60"/>
    <mergeCell ref="B59:B60"/>
    <mergeCell ref="C59:C60"/>
    <mergeCell ref="I59:I60"/>
    <mergeCell ref="A61:A62"/>
    <mergeCell ref="B61:B62"/>
    <mergeCell ref="A63:A64"/>
    <mergeCell ref="B63:B64"/>
    <mergeCell ref="C57:C58"/>
    <mergeCell ref="I57:I58"/>
    <mergeCell ref="D58:D59"/>
    <mergeCell ref="E58:E59"/>
    <mergeCell ref="F58:F59"/>
    <mergeCell ref="G58:G59"/>
    <mergeCell ref="A55:A56"/>
    <mergeCell ref="B55:B56"/>
    <mergeCell ref="C55:C56"/>
    <mergeCell ref="I55:I56"/>
    <mergeCell ref="D56:D57"/>
    <mergeCell ref="E56:E57"/>
    <mergeCell ref="F56:F57"/>
    <mergeCell ref="G56:G57"/>
    <mergeCell ref="A57:A58"/>
    <mergeCell ref="B57:B58"/>
    <mergeCell ref="C53:C54"/>
    <mergeCell ref="I53:I54"/>
    <mergeCell ref="D54:D55"/>
    <mergeCell ref="E54:E55"/>
    <mergeCell ref="F54:F55"/>
    <mergeCell ref="G54:G55"/>
    <mergeCell ref="A51:A52"/>
    <mergeCell ref="B51:B52"/>
    <mergeCell ref="C51:C52"/>
    <mergeCell ref="I51:I52"/>
    <mergeCell ref="D52:D53"/>
    <mergeCell ref="E52:E53"/>
    <mergeCell ref="F52:F53"/>
    <mergeCell ref="G52:G53"/>
    <mergeCell ref="A53:A54"/>
    <mergeCell ref="B53:B54"/>
    <mergeCell ref="C49:C50"/>
    <mergeCell ref="I49:I50"/>
    <mergeCell ref="D50:D51"/>
    <mergeCell ref="E50:E51"/>
    <mergeCell ref="F50:F51"/>
    <mergeCell ref="G50:G51"/>
    <mergeCell ref="A47:A48"/>
    <mergeCell ref="B47:B48"/>
    <mergeCell ref="C47:C48"/>
    <mergeCell ref="I47:I48"/>
    <mergeCell ref="D48:D49"/>
    <mergeCell ref="E48:E49"/>
    <mergeCell ref="F48:F49"/>
    <mergeCell ref="G48:G49"/>
    <mergeCell ref="A49:A50"/>
    <mergeCell ref="B49:B50"/>
    <mergeCell ref="C45:C46"/>
    <mergeCell ref="I45:I46"/>
    <mergeCell ref="D46:D47"/>
    <mergeCell ref="E46:E47"/>
    <mergeCell ref="F46:F47"/>
    <mergeCell ref="G46:G47"/>
    <mergeCell ref="A43:A44"/>
    <mergeCell ref="B43:B44"/>
    <mergeCell ref="C43:C44"/>
    <mergeCell ref="I43:I44"/>
    <mergeCell ref="D44:D45"/>
    <mergeCell ref="E44:E45"/>
    <mergeCell ref="F44:F45"/>
    <mergeCell ref="G44:G45"/>
    <mergeCell ref="A45:A46"/>
    <mergeCell ref="B45:B46"/>
    <mergeCell ref="C41:C42"/>
    <mergeCell ref="I41:I42"/>
    <mergeCell ref="D42:D43"/>
    <mergeCell ref="E42:E43"/>
    <mergeCell ref="F42:F43"/>
    <mergeCell ref="G42:G43"/>
    <mergeCell ref="A39:A40"/>
    <mergeCell ref="B39:B40"/>
    <mergeCell ref="C39:C40"/>
    <mergeCell ref="I39:I40"/>
    <mergeCell ref="D40:D41"/>
    <mergeCell ref="E40:E41"/>
    <mergeCell ref="F40:F41"/>
    <mergeCell ref="G40:G41"/>
    <mergeCell ref="A41:A42"/>
    <mergeCell ref="B41:B42"/>
    <mergeCell ref="C37:C38"/>
    <mergeCell ref="I37:I38"/>
    <mergeCell ref="D38:D39"/>
    <mergeCell ref="E38:E39"/>
    <mergeCell ref="F38:F39"/>
    <mergeCell ref="G38:G39"/>
    <mergeCell ref="A35:A36"/>
    <mergeCell ref="B35:B36"/>
    <mergeCell ref="C35:C36"/>
    <mergeCell ref="I35:I36"/>
    <mergeCell ref="D36:D37"/>
    <mergeCell ref="E36:E37"/>
    <mergeCell ref="F36:F37"/>
    <mergeCell ref="G36:G37"/>
    <mergeCell ref="A37:A38"/>
    <mergeCell ref="B37:B38"/>
    <mergeCell ref="C33:C34"/>
    <mergeCell ref="I33:I34"/>
    <mergeCell ref="D34:D35"/>
    <mergeCell ref="E34:E35"/>
    <mergeCell ref="F34:F35"/>
    <mergeCell ref="G34:G35"/>
    <mergeCell ref="A31:A32"/>
    <mergeCell ref="B31:B32"/>
    <mergeCell ref="C31:C32"/>
    <mergeCell ref="I31:I32"/>
    <mergeCell ref="D32:D33"/>
    <mergeCell ref="E32:E33"/>
    <mergeCell ref="F32:F33"/>
    <mergeCell ref="G32:G33"/>
    <mergeCell ref="A33:A34"/>
    <mergeCell ref="B33:B34"/>
    <mergeCell ref="C29:C30"/>
    <mergeCell ref="I29:I30"/>
    <mergeCell ref="D30:D31"/>
    <mergeCell ref="E30:E31"/>
    <mergeCell ref="F30:F31"/>
    <mergeCell ref="G30:G31"/>
    <mergeCell ref="A27:A28"/>
    <mergeCell ref="B27:B28"/>
    <mergeCell ref="C27:C28"/>
    <mergeCell ref="I27:I28"/>
    <mergeCell ref="D28:D29"/>
    <mergeCell ref="E28:E29"/>
    <mergeCell ref="F28:F29"/>
    <mergeCell ref="G28:G29"/>
    <mergeCell ref="A29:A30"/>
    <mergeCell ref="B29:B30"/>
    <mergeCell ref="C25:C26"/>
    <mergeCell ref="I25:I26"/>
    <mergeCell ref="D26:D27"/>
    <mergeCell ref="E26:E27"/>
    <mergeCell ref="F26:F27"/>
    <mergeCell ref="G26:G27"/>
    <mergeCell ref="A23:A24"/>
    <mergeCell ref="B23:B24"/>
    <mergeCell ref="C23:C24"/>
    <mergeCell ref="I23:I24"/>
    <mergeCell ref="D24:D25"/>
    <mergeCell ref="E24:E25"/>
    <mergeCell ref="F24:F25"/>
    <mergeCell ref="G24:G25"/>
    <mergeCell ref="A25:A26"/>
    <mergeCell ref="B25:B26"/>
    <mergeCell ref="C21:C22"/>
    <mergeCell ref="I21:I22"/>
    <mergeCell ref="D22:D23"/>
    <mergeCell ref="E22:E23"/>
    <mergeCell ref="F22:F23"/>
    <mergeCell ref="G22:G23"/>
    <mergeCell ref="A19:A20"/>
    <mergeCell ref="B19:B20"/>
    <mergeCell ref="C19:C20"/>
    <mergeCell ref="I19:I20"/>
    <mergeCell ref="D20:D21"/>
    <mergeCell ref="E20:E21"/>
    <mergeCell ref="F20:F21"/>
    <mergeCell ref="G20:G21"/>
    <mergeCell ref="A21:A22"/>
    <mergeCell ref="B21:B22"/>
    <mergeCell ref="C17:C18"/>
    <mergeCell ref="I17:I18"/>
    <mergeCell ref="D18:D19"/>
    <mergeCell ref="E18:E19"/>
    <mergeCell ref="F18:F19"/>
    <mergeCell ref="G18:G19"/>
    <mergeCell ref="A15:A16"/>
    <mergeCell ref="B15:B16"/>
    <mergeCell ref="C15:C16"/>
    <mergeCell ref="I15:I16"/>
    <mergeCell ref="D16:D17"/>
    <mergeCell ref="E16:E17"/>
    <mergeCell ref="F16:F17"/>
    <mergeCell ref="G16:G17"/>
    <mergeCell ref="A17:A18"/>
    <mergeCell ref="B17:B18"/>
    <mergeCell ref="C13:C14"/>
    <mergeCell ref="I13:I14"/>
    <mergeCell ref="D14:D15"/>
    <mergeCell ref="E14:E15"/>
    <mergeCell ref="F14:F15"/>
    <mergeCell ref="G14:G15"/>
    <mergeCell ref="A11:A12"/>
    <mergeCell ref="B11:B12"/>
    <mergeCell ref="C11:C12"/>
    <mergeCell ref="I11:I12"/>
    <mergeCell ref="D12:D13"/>
    <mergeCell ref="E12:E13"/>
    <mergeCell ref="F12:F13"/>
    <mergeCell ref="G12:G13"/>
    <mergeCell ref="A13:A14"/>
    <mergeCell ref="B13:B14"/>
    <mergeCell ref="B9:B10"/>
    <mergeCell ref="C9:C10"/>
    <mergeCell ref="I9:I10"/>
    <mergeCell ref="D10:D11"/>
    <mergeCell ref="E10:E11"/>
    <mergeCell ref="F10:F11"/>
    <mergeCell ref="G10:G11"/>
    <mergeCell ref="I4:O4"/>
    <mergeCell ref="A7:A8"/>
    <mergeCell ref="B7:B8"/>
    <mergeCell ref="C7:C8"/>
    <mergeCell ref="I7:I8"/>
    <mergeCell ref="D8:D9"/>
    <mergeCell ref="E8:E9"/>
    <mergeCell ref="F8:F9"/>
    <mergeCell ref="G8:G9"/>
    <mergeCell ref="A9:A10"/>
    <mergeCell ref="A1:G1"/>
    <mergeCell ref="A2:G2"/>
    <mergeCell ref="B4:B5"/>
    <mergeCell ref="C4:C5"/>
    <mergeCell ref="E4:E5"/>
    <mergeCell ref="F4:F5"/>
    <mergeCell ref="I77:I78"/>
    <mergeCell ref="I79:I80"/>
    <mergeCell ref="A77:A78"/>
    <mergeCell ref="B77:B78"/>
    <mergeCell ref="C77:C78"/>
    <mergeCell ref="A79:A80"/>
    <mergeCell ref="B79:B80"/>
    <mergeCell ref="C79:C80"/>
    <mergeCell ref="D76:D77"/>
    <mergeCell ref="E76:E77"/>
    <mergeCell ref="F76:F77"/>
    <mergeCell ref="G76:G77"/>
    <mergeCell ref="D78:D79"/>
    <mergeCell ref="E78:E79"/>
    <mergeCell ref="F78:F79"/>
    <mergeCell ref="G78:G79"/>
  </mergeCells>
  <printOptions/>
  <pageMargins left="1.18125" right="0.7875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showGridLines="0" view="pageBreakPreview" zoomScale="130" zoomScaleNormal="130" zoomScaleSheetLayoutView="130" zoomScalePageLayoutView="0" workbookViewId="0" topLeftCell="A1">
      <selection activeCell="A2" sqref="A2:F2"/>
    </sheetView>
  </sheetViews>
  <sheetFormatPr defaultColWidth="9.140625" defaultRowHeight="12.75"/>
  <cols>
    <col min="1" max="1" width="9.57421875" style="27" customWidth="1"/>
    <col min="2" max="2" width="13.00390625" style="27" bestFit="1" customWidth="1"/>
    <col min="3" max="3" width="11.00390625" style="27" customWidth="1"/>
    <col min="4" max="6" width="12.8515625" style="27" customWidth="1"/>
    <col min="7" max="7" width="9.140625" style="27" customWidth="1"/>
    <col min="8" max="8" width="11.8515625" style="27" customWidth="1"/>
    <col min="9" max="16384" width="9.140625" style="27" customWidth="1"/>
  </cols>
  <sheetData>
    <row r="1" spans="1:7" s="26" customFormat="1" ht="37.5" customHeight="1">
      <c r="A1" s="502" t="str">
        <f>Przedmiar!A1</f>
        <v>Przebudowa drogi powiatowej nr 1715W  Bróza - Radom w 
km od ok. 17+063,93 do ok. 17+918</v>
      </c>
      <c r="B1" s="502"/>
      <c r="C1" s="502"/>
      <c r="D1" s="502"/>
      <c r="E1" s="502"/>
      <c r="F1" s="502"/>
      <c r="G1" s="213"/>
    </row>
    <row r="2" spans="1:8" ht="15.75">
      <c r="A2" s="503" t="s">
        <v>69</v>
      </c>
      <c r="B2" s="503"/>
      <c r="C2" s="503"/>
      <c r="D2" s="503"/>
      <c r="E2" s="503"/>
      <c r="F2" s="503"/>
      <c r="G2" s="26"/>
      <c r="H2" s="26"/>
    </row>
    <row r="3" spans="1:8" ht="19.5" customHeight="1">
      <c r="A3" s="28"/>
      <c r="B3" s="28"/>
      <c r="C3" s="28"/>
      <c r="D3" s="28"/>
      <c r="E3" s="28"/>
      <c r="F3" s="28"/>
      <c r="G3" s="26"/>
      <c r="H3" s="26"/>
    </row>
    <row r="4" spans="1:14" s="31" customFormat="1" ht="18" customHeight="1">
      <c r="A4" s="39" t="s">
        <v>47</v>
      </c>
      <c r="B4" s="513" t="s">
        <v>48</v>
      </c>
      <c r="C4" s="513" t="s">
        <v>36</v>
      </c>
      <c r="D4" s="39" t="s">
        <v>37</v>
      </c>
      <c r="E4" s="513" t="s">
        <v>38</v>
      </c>
      <c r="F4" s="40" t="s">
        <v>39</v>
      </c>
      <c r="G4" s="27"/>
      <c r="H4" s="503"/>
      <c r="I4" s="503"/>
      <c r="J4" s="503"/>
      <c r="K4" s="503"/>
      <c r="L4" s="503"/>
      <c r="M4" s="503"/>
      <c r="N4" s="503"/>
    </row>
    <row r="5" spans="1:6" ht="18" customHeight="1">
      <c r="A5" s="41" t="s">
        <v>148</v>
      </c>
      <c r="B5" s="513"/>
      <c r="C5" s="513"/>
      <c r="D5" s="41" t="s">
        <v>40</v>
      </c>
      <c r="E5" s="513"/>
      <c r="F5" s="42"/>
    </row>
    <row r="6" spans="1:6" ht="12.75">
      <c r="A6" s="43" t="s">
        <v>53</v>
      </c>
      <c r="B6" s="44" t="s">
        <v>53</v>
      </c>
      <c r="C6" s="45" t="s">
        <v>55</v>
      </c>
      <c r="D6" s="45" t="s">
        <v>55</v>
      </c>
      <c r="E6" s="44" t="s">
        <v>54</v>
      </c>
      <c r="F6" s="45" t="s">
        <v>56</v>
      </c>
    </row>
    <row r="7" spans="1:6" ht="12.75">
      <c r="A7" s="518" t="s">
        <v>147</v>
      </c>
      <c r="B7" s="519"/>
      <c r="C7" s="519"/>
      <c r="D7" s="519"/>
      <c r="E7" s="519"/>
      <c r="F7" s="520"/>
    </row>
    <row r="8" spans="1:8" ht="12.75">
      <c r="A8" s="500">
        <v>183</v>
      </c>
      <c r="B8" s="507" t="s">
        <v>191</v>
      </c>
      <c r="C8" s="508">
        <v>0</v>
      </c>
      <c r="D8" s="46"/>
      <c r="E8" s="46"/>
      <c r="F8" s="46"/>
      <c r="H8" s="509">
        <v>17064</v>
      </c>
    </row>
    <row r="9" spans="1:8" ht="12.75">
      <c r="A9" s="500"/>
      <c r="B9" s="499"/>
      <c r="C9" s="508"/>
      <c r="D9" s="497">
        <f>(C8+C10)*0.5</f>
        <v>0.02</v>
      </c>
      <c r="E9" s="497">
        <f>H10-H8</f>
        <v>21.16</v>
      </c>
      <c r="F9" s="498">
        <f>D9*E9</f>
        <v>0.4</v>
      </c>
      <c r="H9" s="510"/>
    </row>
    <row r="10" spans="1:8" ht="12.75">
      <c r="A10" s="501">
        <v>184</v>
      </c>
      <c r="B10" s="499" t="s">
        <v>192</v>
      </c>
      <c r="C10" s="497">
        <v>0.03</v>
      </c>
      <c r="D10" s="497"/>
      <c r="E10" s="497"/>
      <c r="F10" s="498"/>
      <c r="H10" s="497">
        <v>17085.16</v>
      </c>
    </row>
    <row r="11" spans="1:8" ht="12.75">
      <c r="A11" s="501"/>
      <c r="B11" s="499"/>
      <c r="C11" s="497"/>
      <c r="D11" s="497">
        <f>(C10+C12)*0.5</f>
        <v>0.08</v>
      </c>
      <c r="E11" s="497">
        <f>H12-H10</f>
        <v>20.58</v>
      </c>
      <c r="F11" s="498">
        <f>D11*E11</f>
        <v>1.6</v>
      </c>
      <c r="H11" s="497"/>
    </row>
    <row r="12" spans="1:8" ht="12.75">
      <c r="A12" s="500">
        <v>185</v>
      </c>
      <c r="B12" s="499" t="s">
        <v>193</v>
      </c>
      <c r="C12" s="497">
        <v>0.13</v>
      </c>
      <c r="D12" s="497"/>
      <c r="E12" s="497"/>
      <c r="F12" s="498"/>
      <c r="H12" s="497">
        <v>17105.74</v>
      </c>
    </row>
    <row r="13" spans="1:8" ht="12.75">
      <c r="A13" s="500"/>
      <c r="B13" s="499"/>
      <c r="C13" s="497"/>
      <c r="D13" s="497">
        <f>(C12+C14)*0.5</f>
        <v>0.12</v>
      </c>
      <c r="E13" s="497">
        <f>H14-H12</f>
        <v>19.26</v>
      </c>
      <c r="F13" s="498">
        <f>D13*E13</f>
        <v>2.3</v>
      </c>
      <c r="H13" s="497"/>
    </row>
    <row r="14" spans="1:8" ht="12.75">
      <c r="A14" s="501">
        <v>186</v>
      </c>
      <c r="B14" s="499" t="s">
        <v>194</v>
      </c>
      <c r="C14" s="497">
        <v>0.1</v>
      </c>
      <c r="D14" s="497"/>
      <c r="E14" s="497"/>
      <c r="F14" s="498"/>
      <c r="H14" s="497">
        <v>17125</v>
      </c>
    </row>
    <row r="15" spans="1:8" ht="12.75">
      <c r="A15" s="501"/>
      <c r="B15" s="499"/>
      <c r="C15" s="497"/>
      <c r="D15" s="497">
        <f>(C14+C16)*0.5</f>
        <v>0.09</v>
      </c>
      <c r="E15" s="497">
        <f>H16-H14</f>
        <v>25</v>
      </c>
      <c r="F15" s="498">
        <f>D15*E15</f>
        <v>2.3</v>
      </c>
      <c r="H15" s="497"/>
    </row>
    <row r="16" spans="1:8" ht="12.75">
      <c r="A16" s="500">
        <v>187</v>
      </c>
      <c r="B16" s="499" t="s">
        <v>195</v>
      </c>
      <c r="C16" s="497">
        <v>0.08</v>
      </c>
      <c r="D16" s="497"/>
      <c r="E16" s="497"/>
      <c r="F16" s="498"/>
      <c r="H16" s="497">
        <v>17150</v>
      </c>
    </row>
    <row r="17" spans="1:8" ht="12.75">
      <c r="A17" s="500"/>
      <c r="B17" s="499"/>
      <c r="C17" s="497"/>
      <c r="D17" s="497">
        <f>(C16+C18)*0.5</f>
        <v>0.06</v>
      </c>
      <c r="E17" s="497">
        <f>H18-H16</f>
        <v>25</v>
      </c>
      <c r="F17" s="498">
        <f>D17*E17</f>
        <v>1.5</v>
      </c>
      <c r="H17" s="497"/>
    </row>
    <row r="18" spans="1:8" ht="12.75">
      <c r="A18" s="501">
        <v>188</v>
      </c>
      <c r="B18" s="499" t="s">
        <v>206</v>
      </c>
      <c r="C18" s="497">
        <v>0.03</v>
      </c>
      <c r="D18" s="497"/>
      <c r="E18" s="497"/>
      <c r="F18" s="498"/>
      <c r="H18" s="497">
        <v>17175</v>
      </c>
    </row>
    <row r="19" spans="1:8" ht="12.75">
      <c r="A19" s="501"/>
      <c r="B19" s="499"/>
      <c r="C19" s="497"/>
      <c r="D19" s="497">
        <f>(C18+C20)*0.5</f>
        <v>0.09</v>
      </c>
      <c r="E19" s="497">
        <f>H20-H18</f>
        <v>25</v>
      </c>
      <c r="F19" s="498">
        <f>D19*E19</f>
        <v>2.3</v>
      </c>
      <c r="H19" s="497"/>
    </row>
    <row r="20" spans="1:8" ht="12.75">
      <c r="A20" s="500">
        <v>189</v>
      </c>
      <c r="B20" s="499" t="s">
        <v>207</v>
      </c>
      <c r="C20" s="497">
        <v>0.15</v>
      </c>
      <c r="D20" s="497"/>
      <c r="E20" s="497"/>
      <c r="F20" s="498"/>
      <c r="H20" s="497">
        <v>17200</v>
      </c>
    </row>
    <row r="21" spans="1:8" ht="12.75">
      <c r="A21" s="500"/>
      <c r="B21" s="499"/>
      <c r="C21" s="497"/>
      <c r="D21" s="497">
        <f>(C20+C22)*0.5</f>
        <v>0.14</v>
      </c>
      <c r="E21" s="497">
        <f>H22-H20</f>
        <v>25</v>
      </c>
      <c r="F21" s="498">
        <f>D21*E21</f>
        <v>3.5</v>
      </c>
      <c r="H21" s="497"/>
    </row>
    <row r="22" spans="1:8" ht="12.75">
      <c r="A22" s="501">
        <v>190</v>
      </c>
      <c r="B22" s="499" t="s">
        <v>205</v>
      </c>
      <c r="C22" s="497">
        <v>0.13</v>
      </c>
      <c r="D22" s="497"/>
      <c r="E22" s="497"/>
      <c r="F22" s="498"/>
      <c r="H22" s="497">
        <v>17225</v>
      </c>
    </row>
    <row r="23" spans="1:8" ht="12.75">
      <c r="A23" s="501"/>
      <c r="B23" s="499"/>
      <c r="C23" s="497"/>
      <c r="D23" s="497">
        <f>(C22+C24)*0.5</f>
        <v>0.07</v>
      </c>
      <c r="E23" s="497">
        <f>H24-H22</f>
        <v>25</v>
      </c>
      <c r="F23" s="498">
        <f>D23*E23</f>
        <v>1.8</v>
      </c>
      <c r="H23" s="497"/>
    </row>
    <row r="24" spans="1:8" ht="12.75">
      <c r="A24" s="500">
        <v>191</v>
      </c>
      <c r="B24" s="499" t="s">
        <v>204</v>
      </c>
      <c r="C24" s="497">
        <v>0</v>
      </c>
      <c r="D24" s="497"/>
      <c r="E24" s="497"/>
      <c r="F24" s="498"/>
      <c r="H24" s="497">
        <v>17250</v>
      </c>
    </row>
    <row r="25" spans="1:8" ht="12.75">
      <c r="A25" s="500"/>
      <c r="B25" s="499"/>
      <c r="C25" s="497"/>
      <c r="D25" s="497">
        <f>(C24+C26)*0.5</f>
        <v>0.04</v>
      </c>
      <c r="E25" s="497">
        <f>H26-H24</f>
        <v>25</v>
      </c>
      <c r="F25" s="498">
        <f>D25*E25</f>
        <v>1</v>
      </c>
      <c r="H25" s="497"/>
    </row>
    <row r="26" spans="1:8" ht="12.75">
      <c r="A26" s="501">
        <v>192</v>
      </c>
      <c r="B26" s="499" t="s">
        <v>208</v>
      </c>
      <c r="C26" s="497">
        <v>0.07</v>
      </c>
      <c r="D26" s="497"/>
      <c r="E26" s="497"/>
      <c r="F26" s="498"/>
      <c r="H26" s="497">
        <v>17275</v>
      </c>
    </row>
    <row r="27" spans="1:8" ht="12.75">
      <c r="A27" s="501"/>
      <c r="B27" s="499"/>
      <c r="C27" s="497"/>
      <c r="D27" s="497">
        <f>(C26+C28)*0.5</f>
        <v>0.17</v>
      </c>
      <c r="E27" s="497">
        <f>H28-H26</f>
        <v>25</v>
      </c>
      <c r="F27" s="498">
        <f>D27*E27</f>
        <v>4.3</v>
      </c>
      <c r="H27" s="497"/>
    </row>
    <row r="28" spans="1:8" ht="12.75">
      <c r="A28" s="500">
        <v>193</v>
      </c>
      <c r="B28" s="499" t="s">
        <v>209</v>
      </c>
      <c r="C28" s="497">
        <v>0.27</v>
      </c>
      <c r="D28" s="497"/>
      <c r="E28" s="497"/>
      <c r="F28" s="498"/>
      <c r="H28" s="497">
        <v>17300</v>
      </c>
    </row>
    <row r="29" spans="1:8" ht="12.75">
      <c r="A29" s="500"/>
      <c r="B29" s="499"/>
      <c r="C29" s="497"/>
      <c r="D29" s="497">
        <f>(C28+C30)*0.5</f>
        <v>0.28</v>
      </c>
      <c r="E29" s="497">
        <f>H30-H28</f>
        <v>25</v>
      </c>
      <c r="F29" s="498">
        <f>D29*E29</f>
        <v>7</v>
      </c>
      <c r="H29" s="497"/>
    </row>
    <row r="30" spans="1:8" ht="12.75">
      <c r="A30" s="501">
        <v>194</v>
      </c>
      <c r="B30" s="499" t="s">
        <v>200</v>
      </c>
      <c r="C30" s="497">
        <v>0.28</v>
      </c>
      <c r="D30" s="497"/>
      <c r="E30" s="497"/>
      <c r="F30" s="498"/>
      <c r="H30" s="497">
        <v>17325</v>
      </c>
    </row>
    <row r="31" spans="1:8" ht="12.75">
      <c r="A31" s="501"/>
      <c r="B31" s="499"/>
      <c r="C31" s="497"/>
      <c r="D31" s="497">
        <f>(C30+C32)*0.5</f>
        <v>0.26</v>
      </c>
      <c r="E31" s="497">
        <f>H32-H30</f>
        <v>25</v>
      </c>
      <c r="F31" s="498">
        <f>D31*E31</f>
        <v>6.5</v>
      </c>
      <c r="H31" s="497"/>
    </row>
    <row r="32" spans="1:8" ht="12.75">
      <c r="A32" s="500">
        <v>195</v>
      </c>
      <c r="B32" s="499" t="s">
        <v>199</v>
      </c>
      <c r="C32" s="497">
        <v>0.23</v>
      </c>
      <c r="D32" s="497"/>
      <c r="E32" s="497"/>
      <c r="F32" s="498"/>
      <c r="H32" s="497">
        <v>17350</v>
      </c>
    </row>
    <row r="33" spans="1:8" ht="12.75">
      <c r="A33" s="500"/>
      <c r="B33" s="499"/>
      <c r="C33" s="497"/>
      <c r="D33" s="497">
        <f>(C32+C34)*0.5</f>
        <v>0.37</v>
      </c>
      <c r="E33" s="497">
        <f>H34-H32</f>
        <v>25</v>
      </c>
      <c r="F33" s="498">
        <f>D33*E33</f>
        <v>9.3</v>
      </c>
      <c r="H33" s="497"/>
    </row>
    <row r="34" spans="1:8" ht="12.75">
      <c r="A34" s="501">
        <v>196</v>
      </c>
      <c r="B34" s="499" t="s">
        <v>198</v>
      </c>
      <c r="C34" s="497">
        <v>0.51</v>
      </c>
      <c r="D34" s="497"/>
      <c r="E34" s="497"/>
      <c r="F34" s="498"/>
      <c r="H34" s="497">
        <v>17375</v>
      </c>
    </row>
    <row r="35" spans="1:8" ht="12.75">
      <c r="A35" s="501"/>
      <c r="B35" s="499"/>
      <c r="C35" s="497"/>
      <c r="D35" s="497">
        <f>(C34+C36)*0.5</f>
        <v>0.26</v>
      </c>
      <c r="E35" s="497">
        <f>H36-H34</f>
        <v>25</v>
      </c>
      <c r="F35" s="498">
        <f>D35*E35</f>
        <v>6.5</v>
      </c>
      <c r="H35" s="497"/>
    </row>
    <row r="36" spans="1:8" ht="12.75">
      <c r="A36" s="500">
        <v>197</v>
      </c>
      <c r="B36" s="499" t="s">
        <v>210</v>
      </c>
      <c r="C36" s="497">
        <v>0</v>
      </c>
      <c r="D36" s="497"/>
      <c r="E36" s="497"/>
      <c r="F36" s="498"/>
      <c r="H36" s="497">
        <v>17400</v>
      </c>
    </row>
    <row r="37" spans="1:8" ht="12.75">
      <c r="A37" s="500"/>
      <c r="B37" s="499"/>
      <c r="C37" s="497"/>
      <c r="D37" s="201"/>
      <c r="E37" s="201"/>
      <c r="F37" s="202"/>
      <c r="H37" s="497"/>
    </row>
    <row r="38" spans="1:8" ht="12.75">
      <c r="A38" s="48"/>
      <c r="B38" s="190"/>
      <c r="C38" s="192"/>
      <c r="D38" s="516" t="s">
        <v>57</v>
      </c>
      <c r="E38" s="517"/>
      <c r="F38" s="58">
        <f>SUM(F9:F36)</f>
        <v>50.3</v>
      </c>
      <c r="H38" s="192"/>
    </row>
    <row r="39" spans="1:8" ht="12.75">
      <c r="A39" s="501">
        <v>198</v>
      </c>
      <c r="B39" s="499" t="s">
        <v>197</v>
      </c>
      <c r="C39" s="497">
        <v>0.23</v>
      </c>
      <c r="D39" s="201"/>
      <c r="E39" s="201"/>
      <c r="F39" s="202"/>
      <c r="H39" s="497">
        <v>17425</v>
      </c>
    </row>
    <row r="40" spans="1:8" ht="12.75">
      <c r="A40" s="501"/>
      <c r="B40" s="499"/>
      <c r="C40" s="497"/>
      <c r="D40" s="497">
        <f>(C39+C41)*0.5</f>
        <v>0.2</v>
      </c>
      <c r="E40" s="497">
        <f>H41-H39</f>
        <v>25</v>
      </c>
      <c r="F40" s="498">
        <f>D40*E40</f>
        <v>5</v>
      </c>
      <c r="H40" s="497"/>
    </row>
    <row r="41" spans="1:8" ht="12.75">
      <c r="A41" s="500">
        <v>199</v>
      </c>
      <c r="B41" s="499" t="s">
        <v>196</v>
      </c>
      <c r="C41" s="497">
        <v>0.17</v>
      </c>
      <c r="D41" s="497"/>
      <c r="E41" s="497"/>
      <c r="F41" s="498"/>
      <c r="H41" s="497">
        <v>17450</v>
      </c>
    </row>
    <row r="42" spans="1:8" ht="12.75">
      <c r="A42" s="500"/>
      <c r="B42" s="499"/>
      <c r="C42" s="497"/>
      <c r="D42" s="497">
        <f>(C41+C43)*0.5</f>
        <v>0.19</v>
      </c>
      <c r="E42" s="497">
        <f>H43-H41</f>
        <v>25</v>
      </c>
      <c r="F42" s="498">
        <f>D42*E42</f>
        <v>4.8</v>
      </c>
      <c r="H42" s="497"/>
    </row>
    <row r="43" spans="1:8" ht="12.75">
      <c r="A43" s="501">
        <v>200</v>
      </c>
      <c r="B43" s="499" t="s">
        <v>211</v>
      </c>
      <c r="C43" s="497">
        <v>0.21</v>
      </c>
      <c r="D43" s="497"/>
      <c r="E43" s="497"/>
      <c r="F43" s="498"/>
      <c r="H43" s="497">
        <v>17475</v>
      </c>
    </row>
    <row r="44" spans="1:8" ht="12.75">
      <c r="A44" s="501"/>
      <c r="B44" s="499"/>
      <c r="C44" s="497"/>
      <c r="D44" s="497">
        <f>(C43+C45)*0.5</f>
        <v>0.18</v>
      </c>
      <c r="E44" s="497">
        <f>H45-H43</f>
        <v>15.24</v>
      </c>
      <c r="F44" s="498">
        <f>D44*E44</f>
        <v>2.7</v>
      </c>
      <c r="H44" s="497"/>
    </row>
    <row r="45" spans="1:8" ht="12.75">
      <c r="A45" s="500">
        <v>201</v>
      </c>
      <c r="B45" s="499" t="s">
        <v>212</v>
      </c>
      <c r="C45" s="497">
        <v>0.14</v>
      </c>
      <c r="D45" s="497"/>
      <c r="E45" s="497"/>
      <c r="F45" s="498"/>
      <c r="H45" s="497">
        <v>17490.24</v>
      </c>
    </row>
    <row r="46" spans="1:8" ht="12.75">
      <c r="A46" s="500"/>
      <c r="B46" s="499"/>
      <c r="C46" s="497"/>
      <c r="D46" s="497">
        <f>(C45+C47)*0.5</f>
        <v>0.16</v>
      </c>
      <c r="E46" s="497">
        <f>H47-H45</f>
        <v>18.97</v>
      </c>
      <c r="F46" s="498">
        <f>D46*E46</f>
        <v>3</v>
      </c>
      <c r="H46" s="497"/>
    </row>
    <row r="47" spans="1:8" ht="12.75">
      <c r="A47" s="501">
        <v>202</v>
      </c>
      <c r="B47" s="499" t="s">
        <v>203</v>
      </c>
      <c r="C47" s="497">
        <v>0.18</v>
      </c>
      <c r="D47" s="497"/>
      <c r="E47" s="497"/>
      <c r="F47" s="498"/>
      <c r="H47" s="497">
        <v>17509.21</v>
      </c>
    </row>
    <row r="48" spans="1:8" ht="12.75">
      <c r="A48" s="501"/>
      <c r="B48" s="499"/>
      <c r="C48" s="497"/>
      <c r="D48" s="497">
        <f>(C47+C49)*0.5</f>
        <v>0.17</v>
      </c>
      <c r="E48" s="497">
        <f>H49-H47</f>
        <v>18.95</v>
      </c>
      <c r="F48" s="498">
        <f>D48*E48</f>
        <v>3.2</v>
      </c>
      <c r="H48" s="497"/>
    </row>
    <row r="49" spans="1:8" ht="12.75">
      <c r="A49" s="500">
        <v>203</v>
      </c>
      <c r="B49" s="499" t="s">
        <v>202</v>
      </c>
      <c r="C49" s="497">
        <v>0.16</v>
      </c>
      <c r="D49" s="497"/>
      <c r="E49" s="497"/>
      <c r="F49" s="498"/>
      <c r="H49" s="497">
        <v>17528.16</v>
      </c>
    </row>
    <row r="50" spans="1:8" ht="12.75">
      <c r="A50" s="500"/>
      <c r="B50" s="499"/>
      <c r="C50" s="497"/>
      <c r="D50" s="497">
        <f>(C49+C51)*0.5</f>
        <v>0.12</v>
      </c>
      <c r="E50" s="497">
        <f>H51-H49</f>
        <v>21.84</v>
      </c>
      <c r="F50" s="498">
        <f>D50*E50</f>
        <v>2.6</v>
      </c>
      <c r="H50" s="497"/>
    </row>
    <row r="51" spans="1:8" ht="12.75">
      <c r="A51" s="501">
        <v>204</v>
      </c>
      <c r="B51" s="499" t="s">
        <v>201</v>
      </c>
      <c r="C51" s="497">
        <v>0.07</v>
      </c>
      <c r="D51" s="497"/>
      <c r="E51" s="497"/>
      <c r="F51" s="498"/>
      <c r="H51" s="497">
        <v>17550</v>
      </c>
    </row>
    <row r="52" spans="1:8" ht="12.75">
      <c r="A52" s="501"/>
      <c r="B52" s="499"/>
      <c r="C52" s="497"/>
      <c r="D52" s="497">
        <f>(C51+C53)*0.5</f>
        <v>0.09</v>
      </c>
      <c r="E52" s="497">
        <f>H53-H51</f>
        <v>25</v>
      </c>
      <c r="F52" s="498">
        <f>D52*E52</f>
        <v>2.3</v>
      </c>
      <c r="H52" s="497"/>
    </row>
    <row r="53" spans="1:8" ht="12.75">
      <c r="A53" s="500">
        <v>205</v>
      </c>
      <c r="B53" s="499" t="s">
        <v>213</v>
      </c>
      <c r="C53" s="497">
        <v>0.1</v>
      </c>
      <c r="D53" s="497"/>
      <c r="E53" s="497"/>
      <c r="F53" s="498"/>
      <c r="H53" s="497">
        <v>17575</v>
      </c>
    </row>
    <row r="54" spans="1:8" ht="12.75">
      <c r="A54" s="500"/>
      <c r="B54" s="499"/>
      <c r="C54" s="497"/>
      <c r="D54" s="497">
        <f>(C53+C55)*0.5</f>
        <v>0.08</v>
      </c>
      <c r="E54" s="497">
        <f>H55-H53</f>
        <v>25</v>
      </c>
      <c r="F54" s="498">
        <f>D54*E54</f>
        <v>2</v>
      </c>
      <c r="H54" s="497"/>
    </row>
    <row r="55" spans="1:8" ht="12.75">
      <c r="A55" s="501">
        <v>206</v>
      </c>
      <c r="B55" s="499" t="s">
        <v>214</v>
      </c>
      <c r="C55" s="497">
        <v>0.06</v>
      </c>
      <c r="D55" s="497"/>
      <c r="E55" s="497"/>
      <c r="F55" s="498"/>
      <c r="H55" s="497">
        <v>17600</v>
      </c>
    </row>
    <row r="56" spans="1:8" ht="12.75">
      <c r="A56" s="501"/>
      <c r="B56" s="499"/>
      <c r="C56" s="497"/>
      <c r="D56" s="497">
        <f>(C55+C57)*0.5</f>
        <v>0.13</v>
      </c>
      <c r="E56" s="497">
        <f>H57-H55</f>
        <v>25</v>
      </c>
      <c r="F56" s="498">
        <f>D56*E56</f>
        <v>3.3</v>
      </c>
      <c r="H56" s="497"/>
    </row>
    <row r="57" spans="1:8" ht="12.75">
      <c r="A57" s="500">
        <v>207</v>
      </c>
      <c r="B57" s="499" t="s">
        <v>215</v>
      </c>
      <c r="C57" s="497">
        <v>0.19</v>
      </c>
      <c r="D57" s="497"/>
      <c r="E57" s="497"/>
      <c r="F57" s="498"/>
      <c r="H57" s="497">
        <v>17625</v>
      </c>
    </row>
    <row r="58" spans="1:8" ht="12.75">
      <c r="A58" s="500"/>
      <c r="B58" s="499"/>
      <c r="C58" s="497"/>
      <c r="D58" s="497">
        <f>(C57+C59)*0.5</f>
        <v>0.33</v>
      </c>
      <c r="E58" s="497">
        <f>H59-H57</f>
        <v>25</v>
      </c>
      <c r="F58" s="498">
        <f>D58*E58</f>
        <v>8.3</v>
      </c>
      <c r="H58" s="497"/>
    </row>
    <row r="59" spans="1:8" ht="12.75">
      <c r="A59" s="501">
        <v>208</v>
      </c>
      <c r="B59" s="499" t="s">
        <v>216</v>
      </c>
      <c r="C59" s="497">
        <v>0.47</v>
      </c>
      <c r="D59" s="497"/>
      <c r="E59" s="497"/>
      <c r="F59" s="498"/>
      <c r="H59" s="497">
        <v>17650</v>
      </c>
    </row>
    <row r="60" spans="1:8" ht="12.75">
      <c r="A60" s="501"/>
      <c r="B60" s="499"/>
      <c r="C60" s="497"/>
      <c r="D60" s="497">
        <f>(C59+C61)*0.5</f>
        <v>0.69</v>
      </c>
      <c r="E60" s="497">
        <f>H61-H59</f>
        <v>25</v>
      </c>
      <c r="F60" s="498">
        <f>D60*E60</f>
        <v>17.3</v>
      </c>
      <c r="H60" s="497"/>
    </row>
    <row r="61" spans="1:8" ht="12.75">
      <c r="A61" s="500">
        <v>209</v>
      </c>
      <c r="B61" s="499" t="s">
        <v>217</v>
      </c>
      <c r="C61" s="497">
        <v>0.91</v>
      </c>
      <c r="D61" s="497"/>
      <c r="E61" s="497"/>
      <c r="F61" s="498"/>
      <c r="H61" s="497">
        <v>17675</v>
      </c>
    </row>
    <row r="62" spans="1:8" ht="12.75">
      <c r="A62" s="500"/>
      <c r="B62" s="499"/>
      <c r="C62" s="497"/>
      <c r="D62" s="497">
        <f>(C61+C63)*0.5</f>
        <v>0.93</v>
      </c>
      <c r="E62" s="497">
        <f>H63-H61</f>
        <v>25</v>
      </c>
      <c r="F62" s="498">
        <f>D62*E62</f>
        <v>23.3</v>
      </c>
      <c r="H62" s="497"/>
    </row>
    <row r="63" spans="1:8" ht="12.75">
      <c r="A63" s="501">
        <v>210</v>
      </c>
      <c r="B63" s="499" t="s">
        <v>218</v>
      </c>
      <c r="C63" s="497">
        <v>0.94</v>
      </c>
      <c r="D63" s="497"/>
      <c r="E63" s="497"/>
      <c r="F63" s="498"/>
      <c r="H63" s="497">
        <v>17700</v>
      </c>
    </row>
    <row r="64" spans="1:8" ht="12.75">
      <c r="A64" s="501"/>
      <c r="B64" s="499"/>
      <c r="C64" s="497"/>
      <c r="D64" s="192"/>
      <c r="E64" s="192"/>
      <c r="F64" s="191"/>
      <c r="H64" s="497"/>
    </row>
    <row r="65" spans="1:8" ht="12.75">
      <c r="A65" s="59"/>
      <c r="B65" s="60"/>
      <c r="C65" s="61"/>
      <c r="D65" s="516" t="s">
        <v>57</v>
      </c>
      <c r="E65" s="517"/>
      <c r="F65" s="58">
        <f>SUM(F39:F63)</f>
        <v>77.8</v>
      </c>
      <c r="H65" s="38"/>
    </row>
  </sheetData>
  <sheetProtection/>
  <mergeCells count="199">
    <mergeCell ref="D38:E38"/>
    <mergeCell ref="H53:H54"/>
    <mergeCell ref="H55:H56"/>
    <mergeCell ref="H57:H58"/>
    <mergeCell ref="H59:H60"/>
    <mergeCell ref="H41:H42"/>
    <mergeCell ref="H39:H40"/>
    <mergeCell ref="H45:H46"/>
    <mergeCell ref="H47:H48"/>
    <mergeCell ref="H49:H50"/>
    <mergeCell ref="H51:H52"/>
    <mergeCell ref="H34:H35"/>
    <mergeCell ref="H32:H33"/>
    <mergeCell ref="H30:H31"/>
    <mergeCell ref="H28:H29"/>
    <mergeCell ref="H26:H27"/>
    <mergeCell ref="H24:H25"/>
    <mergeCell ref="H22:H23"/>
    <mergeCell ref="H18:H19"/>
    <mergeCell ref="H16:H17"/>
    <mergeCell ref="H14:H15"/>
    <mergeCell ref="H12:H13"/>
    <mergeCell ref="H4:N4"/>
    <mergeCell ref="H8:H9"/>
    <mergeCell ref="H10:H11"/>
    <mergeCell ref="H63:H64"/>
    <mergeCell ref="A63:A64"/>
    <mergeCell ref="B63:B64"/>
    <mergeCell ref="D62:D63"/>
    <mergeCell ref="E62:E63"/>
    <mergeCell ref="F62:F63"/>
    <mergeCell ref="C63:C64"/>
    <mergeCell ref="C55:C56"/>
    <mergeCell ref="F56:F57"/>
    <mergeCell ref="D58:D59"/>
    <mergeCell ref="E58:E59"/>
    <mergeCell ref="F58:F59"/>
    <mergeCell ref="D60:D61"/>
    <mergeCell ref="E60:E61"/>
    <mergeCell ref="F60:F61"/>
    <mergeCell ref="D56:D57"/>
    <mergeCell ref="E56:E57"/>
    <mergeCell ref="D54:D55"/>
    <mergeCell ref="E54:E55"/>
    <mergeCell ref="F54:F55"/>
    <mergeCell ref="D50:D51"/>
    <mergeCell ref="E50:E51"/>
    <mergeCell ref="C45:C46"/>
    <mergeCell ref="C47:C48"/>
    <mergeCell ref="C49:C50"/>
    <mergeCell ref="C51:C52"/>
    <mergeCell ref="C53:C54"/>
    <mergeCell ref="E48:E49"/>
    <mergeCell ref="F48:F49"/>
    <mergeCell ref="D44:D45"/>
    <mergeCell ref="E44:E45"/>
    <mergeCell ref="F50:F51"/>
    <mergeCell ref="D52:D53"/>
    <mergeCell ref="E52:E53"/>
    <mergeCell ref="F52:F53"/>
    <mergeCell ref="B55:B56"/>
    <mergeCell ref="A57:A58"/>
    <mergeCell ref="B57:B58"/>
    <mergeCell ref="A59:A60"/>
    <mergeCell ref="B59:B60"/>
    <mergeCell ref="F44:F45"/>
    <mergeCell ref="D46:D47"/>
    <mergeCell ref="E46:E47"/>
    <mergeCell ref="F46:F47"/>
    <mergeCell ref="D48:D49"/>
    <mergeCell ref="C57:C58"/>
    <mergeCell ref="C59:C60"/>
    <mergeCell ref="B47:B48"/>
    <mergeCell ref="A49:A50"/>
    <mergeCell ref="B49:B50"/>
    <mergeCell ref="A51:A52"/>
    <mergeCell ref="B51:B52"/>
    <mergeCell ref="A53:A54"/>
    <mergeCell ref="B53:B54"/>
    <mergeCell ref="A55:A56"/>
    <mergeCell ref="A7:F7"/>
    <mergeCell ref="A61:A62"/>
    <mergeCell ref="B61:B62"/>
    <mergeCell ref="H61:H62"/>
    <mergeCell ref="C61:C62"/>
    <mergeCell ref="B43:B44"/>
    <mergeCell ref="C43:C44"/>
    <mergeCell ref="H43:H44"/>
    <mergeCell ref="F42:F43"/>
    <mergeCell ref="H36:H37"/>
    <mergeCell ref="D65:E65"/>
    <mergeCell ref="A41:A42"/>
    <mergeCell ref="B41:B42"/>
    <mergeCell ref="C41:C42"/>
    <mergeCell ref="D42:D43"/>
    <mergeCell ref="E42:E43"/>
    <mergeCell ref="A43:A44"/>
    <mergeCell ref="A45:A46"/>
    <mergeCell ref="B45:B46"/>
    <mergeCell ref="A47:A48"/>
    <mergeCell ref="A39:A40"/>
    <mergeCell ref="B39:B40"/>
    <mergeCell ref="C39:C40"/>
    <mergeCell ref="D40:D41"/>
    <mergeCell ref="E40:E41"/>
    <mergeCell ref="F40:F41"/>
    <mergeCell ref="F33:F34"/>
    <mergeCell ref="A34:A35"/>
    <mergeCell ref="B34:B35"/>
    <mergeCell ref="C34:C35"/>
    <mergeCell ref="A36:A37"/>
    <mergeCell ref="B36:B37"/>
    <mergeCell ref="C36:C37"/>
    <mergeCell ref="E31:E32"/>
    <mergeCell ref="F31:F32"/>
    <mergeCell ref="D35:D36"/>
    <mergeCell ref="E35:E36"/>
    <mergeCell ref="F35:F36"/>
    <mergeCell ref="A32:A33"/>
    <mergeCell ref="B32:B33"/>
    <mergeCell ref="C32:C33"/>
    <mergeCell ref="D33:D34"/>
    <mergeCell ref="E33:E34"/>
    <mergeCell ref="A28:A29"/>
    <mergeCell ref="B28:B29"/>
    <mergeCell ref="C28:C29"/>
    <mergeCell ref="D29:D30"/>
    <mergeCell ref="E29:E30"/>
    <mergeCell ref="F29:F30"/>
    <mergeCell ref="A30:A31"/>
    <mergeCell ref="B30:B31"/>
    <mergeCell ref="C30:C31"/>
    <mergeCell ref="D31:D32"/>
    <mergeCell ref="A24:A25"/>
    <mergeCell ref="B24:B25"/>
    <mergeCell ref="C24:C25"/>
    <mergeCell ref="D25:D26"/>
    <mergeCell ref="E25:E26"/>
    <mergeCell ref="F25:F26"/>
    <mergeCell ref="A26:A27"/>
    <mergeCell ref="B26:B27"/>
    <mergeCell ref="C26:C27"/>
    <mergeCell ref="B22:B23"/>
    <mergeCell ref="C22:C23"/>
    <mergeCell ref="D23:D24"/>
    <mergeCell ref="E23:E24"/>
    <mergeCell ref="F23:F24"/>
    <mergeCell ref="D27:D28"/>
    <mergeCell ref="E27:E28"/>
    <mergeCell ref="F27:F28"/>
    <mergeCell ref="B18:B19"/>
    <mergeCell ref="C18:C19"/>
    <mergeCell ref="A20:A21"/>
    <mergeCell ref="B20:B21"/>
    <mergeCell ref="C20:C21"/>
    <mergeCell ref="H20:H21"/>
    <mergeCell ref="D21:D22"/>
    <mergeCell ref="E21:E22"/>
    <mergeCell ref="F21:F22"/>
    <mergeCell ref="A22:A23"/>
    <mergeCell ref="D19:D20"/>
    <mergeCell ref="E19:E20"/>
    <mergeCell ref="F19:F20"/>
    <mergeCell ref="A16:A17"/>
    <mergeCell ref="B16:B17"/>
    <mergeCell ref="C16:C17"/>
    <mergeCell ref="D17:D18"/>
    <mergeCell ref="E17:E18"/>
    <mergeCell ref="F17:F18"/>
    <mergeCell ref="A18:A19"/>
    <mergeCell ref="D13:D14"/>
    <mergeCell ref="E13:E14"/>
    <mergeCell ref="F13:F14"/>
    <mergeCell ref="A14:A15"/>
    <mergeCell ref="B14:B15"/>
    <mergeCell ref="C14:C15"/>
    <mergeCell ref="D15:D16"/>
    <mergeCell ref="E15:E16"/>
    <mergeCell ref="F15:F16"/>
    <mergeCell ref="F9:F10"/>
    <mergeCell ref="A10:A11"/>
    <mergeCell ref="B10:B11"/>
    <mergeCell ref="C10:C11"/>
    <mergeCell ref="D11:D12"/>
    <mergeCell ref="E11:E12"/>
    <mergeCell ref="F11:F12"/>
    <mergeCell ref="A12:A13"/>
    <mergeCell ref="B12:B13"/>
    <mergeCell ref="C12:C13"/>
    <mergeCell ref="A1:F1"/>
    <mergeCell ref="A2:F2"/>
    <mergeCell ref="B4:B5"/>
    <mergeCell ref="C4:C5"/>
    <mergeCell ref="E4:E5"/>
    <mergeCell ref="A8:A9"/>
    <mergeCell ref="B8:B9"/>
    <mergeCell ref="C8:C9"/>
    <mergeCell ref="D9:D10"/>
    <mergeCell ref="E9:E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showGridLines="0" view="pageBreakPreview" zoomScale="130" zoomScaleNormal="85" zoomScaleSheetLayoutView="130" zoomScalePageLayoutView="0" workbookViewId="0" topLeftCell="A1">
      <pane ySplit="6" topLeftCell="A7" activePane="bottomLeft" state="frozen"/>
      <selection pane="topLeft" activeCell="A1" sqref="A1"/>
      <selection pane="bottomLeft" activeCell="K11" sqref="K11"/>
    </sheetView>
  </sheetViews>
  <sheetFormatPr defaultColWidth="11.421875" defaultRowHeight="18.75" customHeight="1"/>
  <cols>
    <col min="1" max="1" width="5.7109375" style="62" customWidth="1"/>
    <col min="2" max="2" width="12.00390625" style="62" customWidth="1"/>
    <col min="3" max="6" width="8.57421875" style="62" customWidth="1"/>
    <col min="7" max="9" width="8.57421875" style="57" customWidth="1"/>
    <col min="10" max="14" width="8.57421875" style="62" customWidth="1"/>
    <col min="15" max="16384" width="11.421875" style="62" customWidth="1"/>
  </cols>
  <sheetData>
    <row r="1" spans="1:14" ht="24" customHeight="1">
      <c r="A1" s="502" t="str">
        <f>Przedmiar!A1</f>
        <v>Przebudowa drogi powiatowej nr 1715W  Bróza - Radom w 
km od ok. 17+063,93 do ok. 17+918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</row>
    <row r="2" spans="1:14" ht="24.75" customHeight="1">
      <c r="A2" s="503" t="s">
        <v>126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</row>
    <row r="3" spans="1:9" ht="12.75" customHeight="1">
      <c r="A3" s="63"/>
      <c r="B3" s="63"/>
      <c r="C3" s="63"/>
      <c r="D3" s="63"/>
      <c r="E3" s="63"/>
      <c r="F3" s="63"/>
      <c r="G3" s="63"/>
      <c r="H3" s="63"/>
      <c r="I3" s="63"/>
    </row>
    <row r="4" spans="1:14" ht="18.75" customHeight="1">
      <c r="A4" s="526" t="s">
        <v>78</v>
      </c>
      <c r="B4" s="526"/>
      <c r="C4" s="526"/>
      <c r="D4" s="526" t="s">
        <v>88</v>
      </c>
      <c r="E4" s="526"/>
      <c r="F4" s="526"/>
      <c r="G4" s="526" t="s">
        <v>76</v>
      </c>
      <c r="H4" s="526"/>
      <c r="I4" s="526"/>
      <c r="J4" s="523" t="s">
        <v>82</v>
      </c>
      <c r="K4" s="524"/>
      <c r="L4" s="525"/>
      <c r="M4" s="526" t="s">
        <v>83</v>
      </c>
      <c r="N4" s="526"/>
    </row>
    <row r="5" spans="1:14" s="70" customFormat="1" ht="14.25" customHeight="1">
      <c r="A5" s="521" t="s">
        <v>79</v>
      </c>
      <c r="B5" s="521" t="s">
        <v>80</v>
      </c>
      <c r="C5" s="522" t="s">
        <v>81</v>
      </c>
      <c r="D5" s="64" t="s">
        <v>77</v>
      </c>
      <c r="E5" s="65" t="s">
        <v>64</v>
      </c>
      <c r="F5" s="65" t="s">
        <v>149</v>
      </c>
      <c r="G5" s="66" t="s">
        <v>77</v>
      </c>
      <c r="H5" s="67" t="s">
        <v>64</v>
      </c>
      <c r="I5" s="67" t="s">
        <v>87</v>
      </c>
      <c r="J5" s="68" t="s">
        <v>85</v>
      </c>
      <c r="K5" s="69" t="s">
        <v>122</v>
      </c>
      <c r="L5" s="69" t="s">
        <v>123</v>
      </c>
      <c r="M5" s="68" t="s">
        <v>85</v>
      </c>
      <c r="N5" s="69" t="s">
        <v>86</v>
      </c>
    </row>
    <row r="6" spans="1:14" ht="12.75">
      <c r="A6" s="521"/>
      <c r="B6" s="521"/>
      <c r="C6" s="522"/>
      <c r="D6" s="71" t="s">
        <v>58</v>
      </c>
      <c r="E6" s="72" t="s">
        <v>58</v>
      </c>
      <c r="F6" s="72" t="s">
        <v>58</v>
      </c>
      <c r="G6" s="71" t="s">
        <v>58</v>
      </c>
      <c r="H6" s="72" t="s">
        <v>58</v>
      </c>
      <c r="I6" s="72" t="s">
        <v>58</v>
      </c>
      <c r="J6" s="72" t="s">
        <v>17</v>
      </c>
      <c r="K6" s="72" t="s">
        <v>17</v>
      </c>
      <c r="L6" s="72" t="s">
        <v>17</v>
      </c>
      <c r="M6" s="72" t="s">
        <v>17</v>
      </c>
      <c r="N6" s="72" t="s">
        <v>17</v>
      </c>
    </row>
    <row r="7" spans="1:14" ht="18.75" customHeight="1">
      <c r="A7" s="48">
        <v>1</v>
      </c>
      <c r="B7" s="48" t="s">
        <v>219</v>
      </c>
      <c r="C7" s="48" t="s">
        <v>62</v>
      </c>
      <c r="D7" s="73"/>
      <c r="E7" s="73"/>
      <c r="F7" s="73"/>
      <c r="G7" s="84"/>
      <c r="H7" s="84"/>
      <c r="I7" s="84">
        <v>21.5</v>
      </c>
      <c r="J7" s="73"/>
      <c r="K7" s="84">
        <v>7</v>
      </c>
      <c r="L7" s="84"/>
      <c r="M7" s="73"/>
      <c r="N7" s="85">
        <v>2</v>
      </c>
    </row>
    <row r="8" spans="1:14" ht="18.75" customHeight="1">
      <c r="A8" s="48">
        <v>2</v>
      </c>
      <c r="B8" s="48" t="s">
        <v>223</v>
      </c>
      <c r="C8" s="48"/>
      <c r="D8" s="73"/>
      <c r="E8" s="73"/>
      <c r="F8" s="73"/>
      <c r="G8" s="84"/>
      <c r="H8" s="84"/>
      <c r="I8" s="84"/>
      <c r="J8" s="73"/>
      <c r="K8" s="84">
        <v>2.5</v>
      </c>
      <c r="L8" s="84"/>
      <c r="M8" s="73"/>
      <c r="N8" s="85">
        <v>2</v>
      </c>
    </row>
    <row r="9" spans="1:14" ht="18.75" customHeight="1">
      <c r="A9" s="48">
        <v>3</v>
      </c>
      <c r="B9" s="48" t="s">
        <v>220</v>
      </c>
      <c r="C9" s="48" t="s">
        <v>62</v>
      </c>
      <c r="D9" s="76"/>
      <c r="E9" s="76"/>
      <c r="F9" s="76">
        <v>21</v>
      </c>
      <c r="G9" s="77"/>
      <c r="H9" s="77">
        <v>23</v>
      </c>
      <c r="I9" s="77"/>
      <c r="J9" s="76"/>
      <c r="K9" s="77">
        <v>7.5</v>
      </c>
      <c r="L9" s="77"/>
      <c r="M9" s="76"/>
      <c r="N9" s="78">
        <v>2</v>
      </c>
    </row>
    <row r="10" spans="1:14" ht="18.75" customHeight="1">
      <c r="A10" s="48">
        <v>4</v>
      </c>
      <c r="B10" s="48" t="s">
        <v>221</v>
      </c>
      <c r="C10" s="48" t="s">
        <v>62</v>
      </c>
      <c r="D10" s="76"/>
      <c r="E10" s="76"/>
      <c r="F10" s="76"/>
      <c r="G10" s="77"/>
      <c r="H10" s="77"/>
      <c r="I10" s="77">
        <v>21</v>
      </c>
      <c r="J10" s="76"/>
      <c r="K10" s="77"/>
      <c r="L10" s="77"/>
      <c r="M10" s="76"/>
      <c r="N10" s="78"/>
    </row>
    <row r="11" spans="1:14" ht="18.75" customHeight="1">
      <c r="A11" s="48">
        <v>5</v>
      </c>
      <c r="B11" s="48" t="s">
        <v>222</v>
      </c>
      <c r="C11" s="48" t="s">
        <v>62</v>
      </c>
      <c r="D11" s="76"/>
      <c r="E11" s="76"/>
      <c r="F11" s="76"/>
      <c r="G11" s="77"/>
      <c r="H11" s="77"/>
      <c r="I11" s="77">
        <v>19</v>
      </c>
      <c r="J11" s="76"/>
      <c r="K11" s="77">
        <v>6.5</v>
      </c>
      <c r="L11" s="77"/>
      <c r="M11" s="76"/>
      <c r="N11" s="78">
        <v>2</v>
      </c>
    </row>
    <row r="12" spans="1:14" ht="18.75" customHeight="1">
      <c r="A12" s="48">
        <v>6</v>
      </c>
      <c r="B12" s="48" t="s">
        <v>390</v>
      </c>
      <c r="C12" s="48" t="s">
        <v>62</v>
      </c>
      <c r="D12" s="437"/>
      <c r="E12" s="437"/>
      <c r="F12" s="437">
        <v>18</v>
      </c>
      <c r="G12" s="84"/>
      <c r="H12" s="84">
        <v>22</v>
      </c>
      <c r="I12" s="84"/>
      <c r="J12" s="437">
        <v>4.4</v>
      </c>
      <c r="K12" s="84">
        <v>7</v>
      </c>
      <c r="L12" s="84"/>
      <c r="M12" s="73"/>
      <c r="N12" s="85">
        <v>2</v>
      </c>
    </row>
    <row r="13" spans="1:14" ht="18.75" customHeight="1">
      <c r="A13" s="48">
        <v>7</v>
      </c>
      <c r="B13" s="48" t="s">
        <v>391</v>
      </c>
      <c r="C13" s="384" t="s">
        <v>392</v>
      </c>
      <c r="D13" s="437"/>
      <c r="E13" s="437"/>
      <c r="F13" s="437"/>
      <c r="G13" s="84"/>
      <c r="H13" s="84"/>
      <c r="I13" s="84">
        <v>18.5</v>
      </c>
      <c r="J13" s="437"/>
      <c r="K13" s="84">
        <v>7</v>
      </c>
      <c r="L13" s="84"/>
      <c r="M13" s="73"/>
      <c r="N13" s="85">
        <v>2</v>
      </c>
    </row>
    <row r="14" spans="3:14" ht="18.75" customHeight="1">
      <c r="C14" s="79" t="s">
        <v>65</v>
      </c>
      <c r="D14" s="80">
        <f>SUM(D7:D11)</f>
        <v>0</v>
      </c>
      <c r="E14" s="80">
        <f aca="true" t="shared" si="0" ref="E14:M14">SUM(E7:E13)</f>
        <v>0</v>
      </c>
      <c r="F14" s="80">
        <f t="shared" si="0"/>
        <v>39</v>
      </c>
      <c r="G14" s="80">
        <f t="shared" si="0"/>
        <v>0</v>
      </c>
      <c r="H14" s="80">
        <f t="shared" si="0"/>
        <v>45</v>
      </c>
      <c r="I14" s="80">
        <f t="shared" si="0"/>
        <v>80</v>
      </c>
      <c r="J14" s="80">
        <f t="shared" si="0"/>
        <v>4.4</v>
      </c>
      <c r="K14" s="80">
        <f t="shared" si="0"/>
        <v>37.5</v>
      </c>
      <c r="L14" s="80">
        <f t="shared" si="0"/>
        <v>0</v>
      </c>
      <c r="M14" s="80">
        <f t="shared" si="0"/>
        <v>0</v>
      </c>
      <c r="N14" s="80">
        <f>SUM(N7:N11)</f>
        <v>8</v>
      </c>
    </row>
    <row r="16" spans="1:2" ht="18.75" customHeight="1">
      <c r="A16" s="34" t="s">
        <v>61</v>
      </c>
      <c r="B16" s="82" t="s">
        <v>66</v>
      </c>
    </row>
    <row r="17" spans="1:2" ht="18.75" customHeight="1">
      <c r="A17" s="34" t="s">
        <v>62</v>
      </c>
      <c r="B17" s="82" t="s">
        <v>67</v>
      </c>
    </row>
    <row r="18" spans="1:2" ht="18.75" customHeight="1">
      <c r="A18" s="34" t="s">
        <v>63</v>
      </c>
      <c r="B18" s="82" t="s">
        <v>68</v>
      </c>
    </row>
  </sheetData>
  <sheetProtection/>
  <mergeCells count="10">
    <mergeCell ref="A5:A6"/>
    <mergeCell ref="B5:B6"/>
    <mergeCell ref="C5:C6"/>
    <mergeCell ref="J4:L4"/>
    <mergeCell ref="A1:N1"/>
    <mergeCell ref="A2:N2"/>
    <mergeCell ref="A4:C4"/>
    <mergeCell ref="D4:F4"/>
    <mergeCell ref="G4:I4"/>
    <mergeCell ref="M4:N4"/>
  </mergeCells>
  <printOptions/>
  <pageMargins left="1.18125" right="0.7875" top="0.7875" bottom="0.7875" header="0.5118055555555555" footer="0.5118055555555555"/>
  <pageSetup horizontalDpi="300" verticalDpi="3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showGridLines="0" view="pageBreakPreview" zoomScale="130" zoomScaleNormal="115" zoomScaleSheetLayoutView="130" zoomScalePageLayoutView="0" workbookViewId="0" topLeftCell="D1">
      <pane ySplit="6" topLeftCell="A7" activePane="bottomLeft" state="frozen"/>
      <selection pane="topLeft" activeCell="A1" sqref="A1"/>
      <selection pane="bottomLeft" activeCell="O7" sqref="O7"/>
    </sheetView>
  </sheetViews>
  <sheetFormatPr defaultColWidth="11.421875" defaultRowHeight="18.75" customHeight="1"/>
  <cols>
    <col min="1" max="1" width="5.7109375" style="62" customWidth="1"/>
    <col min="2" max="2" width="11.421875" style="62" customWidth="1"/>
    <col min="3" max="6" width="8.57421875" style="62" customWidth="1"/>
    <col min="7" max="9" width="8.57421875" style="57" customWidth="1"/>
    <col min="10" max="14" width="8.57421875" style="62" customWidth="1"/>
    <col min="15" max="16384" width="11.421875" style="62" customWidth="1"/>
  </cols>
  <sheetData>
    <row r="1" spans="1:14" ht="24" customHeight="1">
      <c r="A1" s="502" t="str">
        <f>Przedmiar!A1</f>
        <v>Przebudowa drogi powiatowej nr 1715W  Bróza - Radom w 
km od ok. 17+063,93 do ok. 17+918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</row>
    <row r="2" spans="1:14" ht="24.75" customHeight="1">
      <c r="A2" s="503" t="s">
        <v>125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</row>
    <row r="3" spans="1:9" ht="12.75" customHeight="1">
      <c r="A3" s="63"/>
      <c r="B3" s="63"/>
      <c r="C3" s="63"/>
      <c r="D3" s="63"/>
      <c r="E3" s="63"/>
      <c r="F3" s="63"/>
      <c r="G3" s="63"/>
      <c r="H3" s="63"/>
      <c r="I3" s="63"/>
    </row>
    <row r="4" spans="1:14" ht="18.75" customHeight="1">
      <c r="A4" s="526" t="s">
        <v>78</v>
      </c>
      <c r="B4" s="526"/>
      <c r="C4" s="526"/>
      <c r="D4" s="526" t="s">
        <v>84</v>
      </c>
      <c r="E4" s="526"/>
      <c r="F4" s="526"/>
      <c r="G4" s="526" t="s">
        <v>76</v>
      </c>
      <c r="H4" s="526"/>
      <c r="I4" s="526"/>
      <c r="J4" s="523" t="s">
        <v>82</v>
      </c>
      <c r="K4" s="524"/>
      <c r="L4" s="525"/>
      <c r="M4" s="526" t="s">
        <v>83</v>
      </c>
      <c r="N4" s="526"/>
    </row>
    <row r="5" spans="1:14" s="70" customFormat="1" ht="14.25" customHeight="1">
      <c r="A5" s="521" t="s">
        <v>79</v>
      </c>
      <c r="B5" s="521" t="s">
        <v>80</v>
      </c>
      <c r="C5" s="522" t="s">
        <v>81</v>
      </c>
      <c r="D5" s="64" t="s">
        <v>77</v>
      </c>
      <c r="E5" s="65" t="s">
        <v>64</v>
      </c>
      <c r="F5" s="65" t="s">
        <v>149</v>
      </c>
      <c r="G5" s="66" t="s">
        <v>77</v>
      </c>
      <c r="H5" s="67" t="s">
        <v>64</v>
      </c>
      <c r="I5" s="67" t="s">
        <v>87</v>
      </c>
      <c r="J5" s="68" t="s">
        <v>85</v>
      </c>
      <c r="K5" s="69" t="s">
        <v>122</v>
      </c>
      <c r="L5" s="69" t="s">
        <v>123</v>
      </c>
      <c r="M5" s="68" t="s">
        <v>85</v>
      </c>
      <c r="N5" s="69" t="s">
        <v>86</v>
      </c>
    </row>
    <row r="6" spans="1:14" ht="12.75">
      <c r="A6" s="521"/>
      <c r="B6" s="521"/>
      <c r="C6" s="522"/>
      <c r="D6" s="71" t="s">
        <v>58</v>
      </c>
      <c r="E6" s="72" t="s">
        <v>58</v>
      </c>
      <c r="F6" s="72" t="s">
        <v>58</v>
      </c>
      <c r="G6" s="71" t="s">
        <v>58</v>
      </c>
      <c r="H6" s="72" t="s">
        <v>58</v>
      </c>
      <c r="I6" s="72" t="s">
        <v>58</v>
      </c>
      <c r="J6" s="72" t="s">
        <v>17</v>
      </c>
      <c r="K6" s="72" t="s">
        <v>17</v>
      </c>
      <c r="L6" s="72" t="s">
        <v>17</v>
      </c>
      <c r="M6" s="72" t="s">
        <v>17</v>
      </c>
      <c r="N6" s="72" t="s">
        <v>17</v>
      </c>
    </row>
    <row r="7" spans="1:14" ht="18.75" customHeight="1">
      <c r="A7" s="48">
        <v>1</v>
      </c>
      <c r="B7" s="48" t="s">
        <v>224</v>
      </c>
      <c r="C7" s="48" t="s">
        <v>62</v>
      </c>
      <c r="D7" s="73"/>
      <c r="E7" s="73"/>
      <c r="F7" s="73"/>
      <c r="G7" s="74"/>
      <c r="H7" s="74"/>
      <c r="I7" s="74">
        <v>25</v>
      </c>
      <c r="J7" s="73"/>
      <c r="K7" s="74">
        <v>7</v>
      </c>
      <c r="L7" s="74"/>
      <c r="M7" s="73"/>
      <c r="N7" s="75">
        <v>2</v>
      </c>
    </row>
    <row r="8" spans="1:14" ht="18.75" customHeight="1">
      <c r="A8" s="48">
        <v>2</v>
      </c>
      <c r="B8" s="48" t="s">
        <v>225</v>
      </c>
      <c r="C8" s="48" t="s">
        <v>62</v>
      </c>
      <c r="D8" s="73"/>
      <c r="E8" s="73"/>
      <c r="F8" s="73"/>
      <c r="G8" s="74"/>
      <c r="H8" s="74"/>
      <c r="I8" s="74">
        <v>28</v>
      </c>
      <c r="J8" s="73"/>
      <c r="K8" s="74">
        <v>7</v>
      </c>
      <c r="L8" s="74"/>
      <c r="M8" s="73"/>
      <c r="N8" s="75">
        <v>2</v>
      </c>
    </row>
    <row r="9" spans="1:14" ht="18.75" customHeight="1">
      <c r="A9" s="48">
        <v>3</v>
      </c>
      <c r="B9" s="48" t="s">
        <v>226</v>
      </c>
      <c r="C9" s="48" t="s">
        <v>62</v>
      </c>
      <c r="D9" s="76"/>
      <c r="E9" s="76"/>
      <c r="F9" s="76"/>
      <c r="G9" s="77"/>
      <c r="H9" s="77"/>
      <c r="I9" s="77">
        <v>23</v>
      </c>
      <c r="J9" s="76"/>
      <c r="K9" s="77">
        <v>7</v>
      </c>
      <c r="L9" s="77"/>
      <c r="M9" s="76"/>
      <c r="N9" s="78">
        <v>2</v>
      </c>
    </row>
    <row r="10" spans="1:14" ht="18.75" customHeight="1">
      <c r="A10" s="48">
        <v>4</v>
      </c>
      <c r="B10" s="48" t="s">
        <v>227</v>
      </c>
      <c r="C10" s="48" t="s">
        <v>62</v>
      </c>
      <c r="D10" s="76"/>
      <c r="E10" s="76"/>
      <c r="F10" s="76"/>
      <c r="G10" s="77"/>
      <c r="H10" s="77"/>
      <c r="I10" s="77">
        <v>18</v>
      </c>
      <c r="J10" s="76"/>
      <c r="K10" s="77"/>
      <c r="L10" s="77"/>
      <c r="M10" s="76"/>
      <c r="N10" s="78"/>
    </row>
    <row r="11" spans="1:14" ht="18.75" customHeight="1">
      <c r="A11" s="48">
        <v>5</v>
      </c>
      <c r="B11" s="48" t="s">
        <v>228</v>
      </c>
      <c r="C11" s="48" t="s">
        <v>62</v>
      </c>
      <c r="D11" s="76"/>
      <c r="E11" s="76"/>
      <c r="F11" s="76"/>
      <c r="G11" s="77"/>
      <c r="H11" s="77"/>
      <c r="I11" s="77">
        <v>24</v>
      </c>
      <c r="J11" s="76"/>
      <c r="K11" s="77"/>
      <c r="L11" s="77"/>
      <c r="M11" s="76"/>
      <c r="N11" s="78"/>
    </row>
    <row r="12" spans="1:14" ht="18.75" customHeight="1">
      <c r="A12" s="48">
        <v>8</v>
      </c>
      <c r="B12" s="48" t="s">
        <v>229</v>
      </c>
      <c r="C12" s="48" t="s">
        <v>62</v>
      </c>
      <c r="D12" s="76"/>
      <c r="E12" s="76"/>
      <c r="F12" s="76"/>
      <c r="G12" s="77"/>
      <c r="H12" s="77"/>
      <c r="I12" s="77">
        <v>18</v>
      </c>
      <c r="J12" s="76"/>
      <c r="K12" s="77"/>
      <c r="L12" s="77"/>
      <c r="M12" s="76"/>
      <c r="N12" s="78"/>
    </row>
    <row r="13" spans="1:14" ht="18.75" customHeight="1">
      <c r="A13" s="48">
        <v>9</v>
      </c>
      <c r="B13" s="48" t="s">
        <v>230</v>
      </c>
      <c r="C13" s="48" t="s">
        <v>62</v>
      </c>
      <c r="D13" s="76"/>
      <c r="E13" s="76"/>
      <c r="F13" s="76"/>
      <c r="G13" s="77"/>
      <c r="H13" s="77"/>
      <c r="I13" s="77">
        <v>18.5</v>
      </c>
      <c r="J13" s="76"/>
      <c r="K13" s="77"/>
      <c r="L13" s="77"/>
      <c r="M13" s="76"/>
      <c r="N13" s="78"/>
    </row>
    <row r="14" spans="1:14" ht="18.75" customHeight="1">
      <c r="A14" s="48">
        <v>10</v>
      </c>
      <c r="B14" s="48" t="s">
        <v>354</v>
      </c>
      <c r="C14" s="48" t="s">
        <v>62</v>
      </c>
      <c r="D14" s="73"/>
      <c r="E14" s="73"/>
      <c r="F14" s="73"/>
      <c r="G14" s="84"/>
      <c r="H14" s="84"/>
      <c r="I14" s="84">
        <v>26</v>
      </c>
      <c r="J14" s="73">
        <v>4</v>
      </c>
      <c r="K14" s="84"/>
      <c r="L14" s="85"/>
      <c r="M14" s="85"/>
      <c r="N14" s="73"/>
    </row>
    <row r="15" spans="1:14" ht="18.75" customHeight="1">
      <c r="A15" s="48">
        <v>11</v>
      </c>
      <c r="B15" s="48" t="s">
        <v>355</v>
      </c>
      <c r="C15" s="48" t="s">
        <v>62</v>
      </c>
      <c r="D15" s="73"/>
      <c r="E15" s="73"/>
      <c r="F15" s="73">
        <v>21</v>
      </c>
      <c r="G15" s="84">
        <v>17</v>
      </c>
      <c r="H15" s="84">
        <v>8</v>
      </c>
      <c r="I15" s="84"/>
      <c r="J15" s="73">
        <v>8.5</v>
      </c>
      <c r="K15" s="84"/>
      <c r="L15" s="85"/>
      <c r="M15" s="85"/>
      <c r="N15" s="73">
        <v>2</v>
      </c>
    </row>
    <row r="16" spans="3:14" ht="18.75" customHeight="1">
      <c r="C16" s="79" t="s">
        <v>65</v>
      </c>
      <c r="D16" s="81">
        <f aca="true" t="shared" si="0" ref="D16:N16">SUM(D7:D15)</f>
        <v>0</v>
      </c>
      <c r="E16" s="81">
        <f t="shared" si="0"/>
        <v>0</v>
      </c>
      <c r="F16" s="81">
        <f t="shared" si="0"/>
        <v>21</v>
      </c>
      <c r="G16" s="81">
        <f t="shared" si="0"/>
        <v>17</v>
      </c>
      <c r="H16" s="81">
        <f t="shared" si="0"/>
        <v>8</v>
      </c>
      <c r="I16" s="81">
        <f t="shared" si="0"/>
        <v>180.5</v>
      </c>
      <c r="J16" s="81">
        <f t="shared" si="0"/>
        <v>12.5</v>
      </c>
      <c r="K16" s="81">
        <f t="shared" si="0"/>
        <v>21</v>
      </c>
      <c r="L16" s="81">
        <f t="shared" si="0"/>
        <v>0</v>
      </c>
      <c r="M16" s="81">
        <f t="shared" si="0"/>
        <v>0</v>
      </c>
      <c r="N16" s="81">
        <f t="shared" si="0"/>
        <v>8</v>
      </c>
    </row>
    <row r="18" spans="1:2" ht="18.75" customHeight="1">
      <c r="A18" s="34" t="s">
        <v>61</v>
      </c>
      <c r="B18" s="82" t="s">
        <v>66</v>
      </c>
    </row>
    <row r="19" spans="1:2" ht="18.75" customHeight="1">
      <c r="A19" s="34" t="s">
        <v>62</v>
      </c>
      <c r="B19" s="82" t="s">
        <v>67</v>
      </c>
    </row>
    <row r="20" spans="1:2" ht="18.75" customHeight="1">
      <c r="A20" s="34" t="s">
        <v>63</v>
      </c>
      <c r="B20" s="82" t="s">
        <v>68</v>
      </c>
    </row>
    <row r="21" spans="1:2" ht="18.75" customHeight="1">
      <c r="A21" s="34" t="s">
        <v>150</v>
      </c>
      <c r="B21" s="82" t="s">
        <v>151</v>
      </c>
    </row>
    <row r="22" ht="18.75" customHeight="1">
      <c r="B22" s="62" t="s">
        <v>152</v>
      </c>
    </row>
  </sheetData>
  <sheetProtection/>
  <mergeCells count="10">
    <mergeCell ref="M4:N4"/>
    <mergeCell ref="D4:F4"/>
    <mergeCell ref="A2:N2"/>
    <mergeCell ref="A1:N1"/>
    <mergeCell ref="J4:L4"/>
    <mergeCell ref="A5:A6"/>
    <mergeCell ref="B5:B6"/>
    <mergeCell ref="C5:C6"/>
    <mergeCell ref="G4:I4"/>
    <mergeCell ref="A4:C4"/>
  </mergeCells>
  <printOptions/>
  <pageMargins left="1.18125" right="0.7875" top="0.7875" bottom="0.7875" header="0.5118055555555555" footer="0.5118055555555555"/>
  <pageSetup horizontalDpi="300" verticalDpi="3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"/>
  <sheetViews>
    <sheetView showGridLines="0" view="pageBreakPreview" zoomScaleSheetLayoutView="100" zoomScalePageLayoutView="0" workbookViewId="0" topLeftCell="A4">
      <selection activeCell="I11" sqref="I11"/>
    </sheetView>
  </sheetViews>
  <sheetFormatPr defaultColWidth="17.140625" defaultRowHeight="18.75" customHeight="1"/>
  <cols>
    <col min="1" max="9" width="14.28125" style="57" customWidth="1"/>
    <col min="10" max="11" width="17.140625" style="23" customWidth="1"/>
    <col min="12" max="16384" width="17.140625" style="57" customWidth="1"/>
  </cols>
  <sheetData>
    <row r="1" spans="1:14" ht="31.5" customHeight="1">
      <c r="A1" s="502" t="str">
        <f>Przedmiar!A1</f>
        <v>Przebudowa drogi powiatowej nr 1715W  Bróza - Radom w 
km od ok. 17+063,93 do ok. 17+918</v>
      </c>
      <c r="B1" s="502"/>
      <c r="C1" s="502"/>
      <c r="D1" s="502"/>
      <c r="E1" s="502"/>
      <c r="F1" s="502"/>
      <c r="G1" s="502"/>
      <c r="H1" s="502"/>
      <c r="I1" s="502"/>
      <c r="J1" s="502"/>
      <c r="K1" s="213"/>
      <c r="L1" s="213"/>
      <c r="M1" s="213"/>
      <c r="N1" s="213"/>
    </row>
    <row r="2" spans="1:10" ht="28.5" customHeight="1">
      <c r="A2" s="533" t="s">
        <v>70</v>
      </c>
      <c r="B2" s="533"/>
      <c r="C2" s="533"/>
      <c r="D2" s="533"/>
      <c r="E2" s="533"/>
      <c r="F2" s="533"/>
      <c r="G2" s="533"/>
      <c r="H2" s="533"/>
      <c r="I2" s="533"/>
      <c r="J2" s="533"/>
    </row>
    <row r="3" spans="1:10" ht="28.5" customHeight="1">
      <c r="A3" s="527" t="s">
        <v>231</v>
      </c>
      <c r="B3" s="528"/>
      <c r="C3" s="528"/>
      <c r="D3" s="528"/>
      <c r="E3" s="528"/>
      <c r="F3" s="528"/>
      <c r="G3" s="528"/>
      <c r="H3" s="528"/>
      <c r="I3" s="528"/>
      <c r="J3" s="528"/>
    </row>
    <row r="4" spans="1:10" ht="18.75" customHeight="1">
      <c r="A4" s="529" t="s">
        <v>71</v>
      </c>
      <c r="B4" s="530"/>
      <c r="C4" s="530"/>
      <c r="D4" s="530"/>
      <c r="E4" s="530"/>
      <c r="F4" s="531"/>
      <c r="G4" s="529" t="s">
        <v>236</v>
      </c>
      <c r="H4" s="530"/>
      <c r="I4" s="530"/>
      <c r="J4" s="531"/>
    </row>
    <row r="5" spans="1:10" ht="78.75" customHeight="1">
      <c r="A5" s="49" t="s">
        <v>72</v>
      </c>
      <c r="B5" s="49" t="s">
        <v>233</v>
      </c>
      <c r="C5" s="200" t="s">
        <v>235</v>
      </c>
      <c r="D5" s="49" t="s">
        <v>73</v>
      </c>
      <c r="E5" s="49" t="s">
        <v>74</v>
      </c>
      <c r="F5" s="49" t="s">
        <v>156</v>
      </c>
      <c r="G5" s="49" t="s">
        <v>234</v>
      </c>
      <c r="H5" s="49" t="s">
        <v>75</v>
      </c>
      <c r="I5" s="49" t="s">
        <v>286</v>
      </c>
      <c r="J5" s="214" t="s">
        <v>237</v>
      </c>
    </row>
    <row r="6" spans="1:10" ht="18.75" customHeight="1">
      <c r="A6" s="50" t="s">
        <v>58</v>
      </c>
      <c r="B6" s="50" t="s">
        <v>58</v>
      </c>
      <c r="C6" s="200" t="s">
        <v>58</v>
      </c>
      <c r="D6" s="193" t="s">
        <v>58</v>
      </c>
      <c r="E6" s="50" t="s">
        <v>60</v>
      </c>
      <c r="F6" s="193" t="s">
        <v>58</v>
      </c>
      <c r="G6" s="50" t="s">
        <v>58</v>
      </c>
      <c r="H6" s="50" t="s">
        <v>58</v>
      </c>
      <c r="I6" s="50" t="s">
        <v>58</v>
      </c>
      <c r="J6" s="193" t="s">
        <v>58</v>
      </c>
    </row>
    <row r="7" spans="1:10" ht="18.75" customHeight="1">
      <c r="A7" s="198">
        <f>(17400-17063.93)*6.58</f>
        <v>2211</v>
      </c>
      <c r="B7" s="198">
        <f>(17400-17063.93)*6.72</f>
        <v>2258</v>
      </c>
      <c r="C7" s="198"/>
      <c r="D7" s="198">
        <f>(17400-17063.93)*6.8</f>
        <v>2285</v>
      </c>
      <c r="E7" s="51">
        <f>'w-wa wyrownawcza'!F38</f>
        <v>50.3</v>
      </c>
      <c r="F7" s="198">
        <f>(17400-17063.93)*6.75</f>
        <v>2268</v>
      </c>
      <c r="G7" s="199">
        <f>(17400-17064)*0.5+66+(17400-17064)*0.18</f>
        <v>294</v>
      </c>
      <c r="H7" s="199">
        <f>(17400-17064)*0.5+66+(17400-17064)*0.38</f>
        <v>362</v>
      </c>
      <c r="I7" s="199">
        <f>(17400-17064)*0.3+66+(17400-17064)*0.68</f>
        <v>395</v>
      </c>
      <c r="J7" s="199">
        <f>I7*2+2*0.4*(17400-17064)</f>
        <v>1059</v>
      </c>
    </row>
    <row r="8" spans="1:9" ht="11.25" customHeight="1">
      <c r="A8" s="52"/>
      <c r="B8" s="53"/>
      <c r="C8" s="194"/>
      <c r="D8" s="194"/>
      <c r="E8" s="53"/>
      <c r="F8" s="194"/>
      <c r="G8" s="53"/>
      <c r="H8" s="53"/>
      <c r="I8" s="53"/>
    </row>
    <row r="9" spans="1:10" ht="28.5" customHeight="1">
      <c r="A9" s="527" t="s">
        <v>232</v>
      </c>
      <c r="B9" s="528"/>
      <c r="C9" s="528"/>
      <c r="D9" s="528"/>
      <c r="E9" s="528"/>
      <c r="F9" s="528"/>
      <c r="G9" s="528"/>
      <c r="H9" s="528"/>
      <c r="I9" s="528"/>
      <c r="J9" s="528"/>
    </row>
    <row r="10" spans="1:10" ht="18.75" customHeight="1">
      <c r="A10" s="529" t="s">
        <v>71</v>
      </c>
      <c r="B10" s="530"/>
      <c r="C10" s="530"/>
      <c r="D10" s="530"/>
      <c r="E10" s="530"/>
      <c r="F10" s="531"/>
      <c r="G10" s="529" t="s">
        <v>236</v>
      </c>
      <c r="H10" s="530"/>
      <c r="I10" s="530"/>
      <c r="J10" s="531"/>
    </row>
    <row r="11" spans="1:10" ht="81.75" customHeight="1">
      <c r="A11" s="49" t="s">
        <v>72</v>
      </c>
      <c r="B11" s="49" t="s">
        <v>233</v>
      </c>
      <c r="C11" s="49" t="s">
        <v>235</v>
      </c>
      <c r="D11" s="49" t="s">
        <v>73</v>
      </c>
      <c r="E11" s="49" t="s">
        <v>250</v>
      </c>
      <c r="F11" s="49" t="s">
        <v>156</v>
      </c>
      <c r="G11" s="54" t="s">
        <v>73</v>
      </c>
      <c r="H11" s="49" t="s">
        <v>75</v>
      </c>
      <c r="I11" s="49" t="s">
        <v>286</v>
      </c>
      <c r="J11" s="214" t="s">
        <v>237</v>
      </c>
    </row>
    <row r="12" spans="1:10" ht="18.75" customHeight="1">
      <c r="A12" s="50" t="s">
        <v>58</v>
      </c>
      <c r="B12" s="50" t="s">
        <v>58</v>
      </c>
      <c r="C12" s="193" t="s">
        <v>58</v>
      </c>
      <c r="D12" s="193" t="s">
        <v>58</v>
      </c>
      <c r="E12" s="50" t="s">
        <v>60</v>
      </c>
      <c r="F12" s="193" t="s">
        <v>58</v>
      </c>
      <c r="G12" s="55" t="s">
        <v>58</v>
      </c>
      <c r="H12" s="50" t="s">
        <v>58</v>
      </c>
      <c r="I12" s="193" t="s">
        <v>58</v>
      </c>
      <c r="J12" s="193" t="s">
        <v>58</v>
      </c>
    </row>
    <row r="13" spans="1:10" ht="18.75" customHeight="1">
      <c r="A13" s="198">
        <f>(17700-17400)*6.58</f>
        <v>1974</v>
      </c>
      <c r="B13" s="198">
        <f>(17700-17400)*6.72</f>
        <v>2016</v>
      </c>
      <c r="C13" s="198">
        <f>(17700-17400)*6.88</f>
        <v>2064</v>
      </c>
      <c r="D13" s="198">
        <f>(17700-17400)*6.96</f>
        <v>2088</v>
      </c>
      <c r="E13" s="51">
        <f>'w-wa wyrownawcza'!F65</f>
        <v>77.8</v>
      </c>
      <c r="F13" s="198">
        <f>(17700-17400)*6.9</f>
        <v>2070</v>
      </c>
      <c r="G13" s="56"/>
      <c r="H13" s="199">
        <f>3.22+(17423-17400)*0.5+(17423-17400)*0.43+11.06+(17554.8-17491.2)*0.5+(17554.8-17491.2)*0.43</f>
        <v>95</v>
      </c>
      <c r="I13" s="199">
        <f>3.22+(17423-17400)*0.3+(17423-17400)*0.73+11.06+(17554.8-17491.2)*0.3+(17554.8-17491.2)*0.73</f>
        <v>103</v>
      </c>
      <c r="J13" s="199">
        <f>I13*2+2*0.4*(17423-17400)+2*0.4*(17554.8-17491.2)</f>
        <v>275</v>
      </c>
    </row>
    <row r="14" spans="1:9" ht="11.25" customHeight="1">
      <c r="A14" s="52"/>
      <c r="B14" s="53"/>
      <c r="C14" s="194"/>
      <c r="D14" s="194"/>
      <c r="E14" s="53"/>
      <c r="F14" s="194"/>
      <c r="G14" s="53"/>
      <c r="H14" s="53"/>
      <c r="I14" s="53"/>
    </row>
    <row r="15" spans="1:10" ht="25.5" customHeight="1">
      <c r="A15" s="527" t="s">
        <v>389</v>
      </c>
      <c r="B15" s="528"/>
      <c r="C15" s="528"/>
      <c r="D15" s="528"/>
      <c r="E15" s="528"/>
      <c r="F15" s="528"/>
      <c r="G15" s="528"/>
      <c r="H15" s="435"/>
      <c r="I15" s="435"/>
      <c r="J15" s="435"/>
    </row>
    <row r="16" spans="1:10" ht="18.75" customHeight="1">
      <c r="A16" s="532" t="s">
        <v>71</v>
      </c>
      <c r="B16" s="532"/>
      <c r="C16" s="532"/>
      <c r="D16" s="532"/>
      <c r="E16" s="532"/>
      <c r="F16" s="532"/>
      <c r="G16" s="532"/>
      <c r="H16" s="434"/>
      <c r="I16" s="434"/>
      <c r="J16" s="434"/>
    </row>
    <row r="17" spans="1:9" ht="76.5">
      <c r="A17" s="49" t="s">
        <v>72</v>
      </c>
      <c r="B17" s="49" t="s">
        <v>277</v>
      </c>
      <c r="C17" s="49" t="s">
        <v>278</v>
      </c>
      <c r="D17" s="49" t="s">
        <v>279</v>
      </c>
      <c r="E17" s="49" t="s">
        <v>287</v>
      </c>
      <c r="F17" s="49" t="s">
        <v>285</v>
      </c>
      <c r="G17" s="49" t="s">
        <v>237</v>
      </c>
      <c r="H17" s="23"/>
      <c r="I17" s="23"/>
    </row>
    <row r="18" spans="1:9" ht="12.75">
      <c r="A18" s="193" t="s">
        <v>58</v>
      </c>
      <c r="B18" s="193" t="s">
        <v>58</v>
      </c>
      <c r="C18" s="193" t="s">
        <v>58</v>
      </c>
      <c r="D18" s="193" t="s">
        <v>58</v>
      </c>
      <c r="E18" s="193" t="s">
        <v>58</v>
      </c>
      <c r="F18" s="193" t="s">
        <v>58</v>
      </c>
      <c r="G18" s="49" t="s">
        <v>58</v>
      </c>
      <c r="H18" s="23"/>
      <c r="I18" s="23"/>
    </row>
    <row r="19" spans="1:9" ht="18.75" customHeight="1">
      <c r="A19" s="198">
        <f>(17918-17700)*6.58</f>
        <v>1434</v>
      </c>
      <c r="B19" s="198">
        <f>(17918-17700)*6.7</f>
        <v>1461</v>
      </c>
      <c r="C19" s="198">
        <f>(17918-17700)*6.86</f>
        <v>1495</v>
      </c>
      <c r="D19" s="198">
        <f>(17918-17700)*7.26</f>
        <v>1583</v>
      </c>
      <c r="E19" s="198">
        <f>(17918-17700)*7.76</f>
        <v>1692</v>
      </c>
      <c r="F19" s="198">
        <f>(17918-17700)*8.66</f>
        <v>1888</v>
      </c>
      <c r="G19" s="198">
        <f>F19*2+0.3*(17918-17700)</f>
        <v>3841</v>
      </c>
      <c r="H19" s="23"/>
      <c r="I19" s="23"/>
    </row>
    <row r="20" spans="1:9" ht="18.75" customHeight="1">
      <c r="A20" s="52"/>
      <c r="B20" s="53"/>
      <c r="C20" s="194"/>
      <c r="D20" s="194"/>
      <c r="E20" s="53"/>
      <c r="F20" s="194"/>
      <c r="G20" s="53"/>
      <c r="H20" s="53"/>
      <c r="I20" s="53"/>
    </row>
  </sheetData>
  <sheetProtection/>
  <mergeCells count="10">
    <mergeCell ref="A15:G15"/>
    <mergeCell ref="A1:J1"/>
    <mergeCell ref="A4:F4"/>
    <mergeCell ref="A16:G16"/>
    <mergeCell ref="A9:J9"/>
    <mergeCell ref="A3:J3"/>
    <mergeCell ref="A2:J2"/>
    <mergeCell ref="A10:F10"/>
    <mergeCell ref="G4:J4"/>
    <mergeCell ref="G10:J10"/>
  </mergeCells>
  <printOptions/>
  <pageMargins left="1.18125" right="0.7875" top="0.7875" bottom="0.7875" header="0.5118055555555555" footer="0.5118055555555555"/>
  <pageSetup horizontalDpi="300" verticalDpi="3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showGridLines="0" view="pageBreakPreview" zoomScaleNormal="85" zoomScaleSheetLayoutView="100" workbookViewId="0" topLeftCell="A1">
      <selection activeCell="A1" sqref="A1:F1"/>
    </sheetView>
  </sheetViews>
  <sheetFormatPr defaultColWidth="15.7109375" defaultRowHeight="18.75" customHeight="1"/>
  <cols>
    <col min="1" max="1" width="12.00390625" style="194" customWidth="1"/>
    <col min="2" max="16384" width="15.7109375" style="194" customWidth="1"/>
  </cols>
  <sheetData>
    <row r="1" spans="1:6" ht="37.5" customHeight="1">
      <c r="A1" s="535" t="str">
        <f>Przedmiar!A1</f>
        <v>Przebudowa drogi powiatowej nr 1715W  Bróza - Radom w 
km od ok. 17+063,93 do ok. 17+918</v>
      </c>
      <c r="B1" s="535"/>
      <c r="C1" s="535"/>
      <c r="D1" s="535"/>
      <c r="E1" s="535"/>
      <c r="F1" s="535"/>
    </row>
    <row r="2" spans="1:6" ht="46.5" customHeight="1">
      <c r="A2" s="534" t="s">
        <v>334</v>
      </c>
      <c r="B2" s="534"/>
      <c r="C2" s="534"/>
      <c r="D2" s="534"/>
      <c r="E2" s="534"/>
      <c r="F2" s="534"/>
    </row>
    <row r="3" spans="2:6" ht="18.75" customHeight="1">
      <c r="B3" s="248"/>
      <c r="C3" s="248"/>
      <c r="D3" s="248"/>
      <c r="E3" s="248"/>
      <c r="F3" s="248"/>
    </row>
    <row r="4" spans="1:6" ht="84.75" customHeight="1">
      <c r="A4" s="87" t="s">
        <v>333</v>
      </c>
      <c r="B4" s="247" t="s">
        <v>332</v>
      </c>
      <c r="C4" s="246" t="s">
        <v>331</v>
      </c>
      <c r="D4" s="246" t="s">
        <v>330</v>
      </c>
      <c r="E4" s="246" t="s">
        <v>329</v>
      </c>
      <c r="F4" s="245" t="s">
        <v>328</v>
      </c>
    </row>
    <row r="5" spans="1:6" ht="18.75" customHeight="1">
      <c r="A5" s="88"/>
      <c r="B5" s="244" t="s">
        <v>17</v>
      </c>
      <c r="C5" s="243" t="s">
        <v>17</v>
      </c>
      <c r="D5" s="243" t="s">
        <v>17</v>
      </c>
      <c r="E5" s="243" t="s">
        <v>58</v>
      </c>
      <c r="F5" s="242" t="s">
        <v>58</v>
      </c>
    </row>
    <row r="6" spans="1:6" ht="43.5" customHeight="1">
      <c r="A6" s="241" t="s">
        <v>388</v>
      </c>
      <c r="B6" s="89">
        <v>51</v>
      </c>
      <c r="C6" s="89">
        <v>4</v>
      </c>
      <c r="D6" s="89">
        <v>36</v>
      </c>
      <c r="E6" s="89">
        <v>88</v>
      </c>
      <c r="F6" s="89">
        <f>E6</f>
        <v>88</v>
      </c>
    </row>
    <row r="7" spans="1:6" ht="18.75" customHeight="1">
      <c r="A7" s="91" t="s">
        <v>57</v>
      </c>
      <c r="B7" s="92">
        <f>SUM(B6:B6)</f>
        <v>51</v>
      </c>
      <c r="C7" s="92">
        <f>SUM(C6:C6)</f>
        <v>4</v>
      </c>
      <c r="D7" s="92">
        <f>SUM(D6:D6)</f>
        <v>36</v>
      </c>
      <c r="E7" s="92">
        <f>SUM(E6:E6)</f>
        <v>88</v>
      </c>
      <c r="F7" s="92">
        <f>SUM(F6:F6)</f>
        <v>88</v>
      </c>
    </row>
  </sheetData>
  <sheetProtection/>
  <mergeCells count="2">
    <mergeCell ref="A2:F2"/>
    <mergeCell ref="A1:F1"/>
  </mergeCells>
  <printOptions/>
  <pageMargins left="1.18125" right="0.7875" top="0.7875" bottom="0.7875" header="0.5118055555555555" footer="0.5118055555555555"/>
  <pageSetup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</dc:creator>
  <cp:keywords/>
  <dc:description/>
  <cp:lastModifiedBy>Adm</cp:lastModifiedBy>
  <cp:lastPrinted>2014-07-29T14:09:28Z</cp:lastPrinted>
  <dcterms:created xsi:type="dcterms:W3CDTF">2013-07-30T20:25:36Z</dcterms:created>
  <dcterms:modified xsi:type="dcterms:W3CDTF">2014-09-19T13:04:47Z</dcterms:modified>
  <cp:category/>
  <cp:version/>
  <cp:contentType/>
  <cp:contentStatus/>
</cp:coreProperties>
</file>