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20 Przebudowa drogi 3536W + remont mostu\"/>
    </mc:Choice>
  </mc:AlternateContent>
  <xr:revisionPtr revIDLastSave="0" documentId="13_ncr:1_{164B9370-7A34-4134-B9C2-C207DE095662}" xr6:coauthVersionLast="45" xr6:coauthVersionMax="45" xr10:uidLastSave="{00000000-0000-0000-0000-000000000000}"/>
  <bookViews>
    <workbookView xWindow="-120" yWindow="-120" windowWidth="29040" windowHeight="15840" tabRatio="803" xr2:uid="{00000000-000D-0000-FFFF-FFFF00000000}"/>
  </bookViews>
  <sheets>
    <sheet name="Kosztorys ofertowy" sheetId="85" r:id="rId1"/>
    <sheet name="&lt;--przepusty" sheetId="74" state="hidden" r:id="rId2"/>
  </sheets>
  <externalReferences>
    <externalReference r:id="rId3"/>
  </externalReferences>
  <definedNames>
    <definedName name="_od1">#REF!</definedName>
    <definedName name="_od2">#REF!</definedName>
    <definedName name="_od3">#REF!</definedName>
    <definedName name="_od4">#REF!</definedName>
    <definedName name="_ods1">#REF!</definedName>
    <definedName name="_ods2">#REF!</definedName>
    <definedName name="_ods3">#REF!</definedName>
    <definedName name="_ods4">#REF!</definedName>
    <definedName name="_xlnm.Print_Area" localSheetId="0">'Kosztorys ofertowy'!$A$1:$G$89</definedName>
    <definedName name="_xlnm.Print_Area">#REF!</definedName>
    <definedName name="posz1">#REF!</definedName>
    <definedName name="posz2">#REF!</definedName>
    <definedName name="posz3">#REF!</definedName>
    <definedName name="_xlnm.Print_Titles" localSheetId="0">'Kosztorys ofertowy'!$3:$3</definedName>
    <definedName name="_xlnm.Print_Titles">#REF!</definedName>
    <definedName name="waluta">[1]Opcje!$B$2</definedName>
    <definedName name="Z_5E068C25_D435_46DE_A64A_D205E9289932_.wvu.PrintArea" localSheetId="1" hidden="1">'&lt;--przepusty'!$A$1:$J$45</definedName>
    <definedName name="Z_D77CCF3B_D797_41D0_B6E1_DD959026208A_.wvu.PrintArea" localSheetId="1" hidden="1">'&lt;--przepusty'!$A$1:$J$45</definedName>
  </definedNames>
  <calcPr calcId="191029"/>
  <customWorkbookViews>
    <customWorkbookView name="wojl - Widok osobisty" guid="{0083642F-FC64-4801-91A4-9AFA22F77273}" mergeInterval="0" personalView="1" xWindow="6" yWindow="25" windowWidth="3499" windowHeight="1050" tabRatio="938" activeSheetId="64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lewl - Widok osobisty" guid="{D77CCF3B-D797-41D0-B6E1-DD959026208A}" mergeInterval="0" personalView="1" maximized="1" xWindow="1" yWindow="1" windowWidth="1810" windowHeight="999" tabRatio="938" activeSheetId="3"/>
    <customWorkbookView name="skrk - Widok osobisty" guid="{DFD46085-7CA0-4148-BC6E-BB530038F726}" mergeInterval="0" personalView="1" maximized="1" xWindow="1" yWindow="1" windowWidth="1916" windowHeight="983" tabRatio="938" activeSheetId="56"/>
  </customWorkbookViews>
</workbook>
</file>

<file path=xl/calcChain.xml><?xml version="1.0" encoding="utf-8"?>
<calcChain xmlns="http://schemas.openxmlformats.org/spreadsheetml/2006/main">
  <c r="G79" i="85" l="1"/>
  <c r="G76" i="85"/>
  <c r="G73" i="85"/>
  <c r="G72" i="85"/>
  <c r="G68" i="85"/>
  <c r="G65" i="85"/>
  <c r="G61" i="85"/>
  <c r="G60" i="85"/>
  <c r="G57" i="85"/>
  <c r="G53" i="85"/>
  <c r="G50" i="85"/>
  <c r="G46" i="85"/>
  <c r="G43" i="85"/>
  <c r="G41" i="85"/>
  <c r="G40" i="85"/>
  <c r="G36" i="85"/>
  <c r="G32" i="85"/>
  <c r="G29" i="85"/>
  <c r="G28" i="85"/>
  <c r="G27" i="85"/>
  <c r="G24" i="85"/>
  <c r="G23" i="85"/>
  <c r="G22" i="85"/>
  <c r="G18" i="85"/>
  <c r="G15" i="85"/>
  <c r="G14" i="85"/>
  <c r="G13" i="85"/>
  <c r="G12" i="85"/>
  <c r="G11" i="85"/>
  <c r="G7" i="85"/>
  <c r="G80" i="85" l="1"/>
  <c r="G81" i="85" s="1"/>
  <c r="G82" i="85" s="1"/>
  <c r="D9" i="74" l="1"/>
  <c r="E9" i="74"/>
  <c r="H9" i="74"/>
  <c r="I9" i="74"/>
  <c r="J9" i="74"/>
  <c r="D10" i="74"/>
  <c r="E10" i="74"/>
  <c r="H10" i="74"/>
  <c r="I10" i="74"/>
  <c r="J10" i="74"/>
  <c r="D11" i="74"/>
  <c r="E11" i="74"/>
  <c r="H11" i="74"/>
  <c r="I11" i="74"/>
  <c r="J11" i="74"/>
  <c r="D12" i="74"/>
  <c r="E12" i="74"/>
  <c r="H12" i="74"/>
  <c r="I12" i="74"/>
  <c r="J12" i="74"/>
  <c r="D13" i="74"/>
  <c r="E13" i="74"/>
  <c r="H13" i="74"/>
  <c r="I13" i="74"/>
  <c r="J13" i="74"/>
  <c r="D14" i="74"/>
  <c r="E14" i="74"/>
  <c r="H14" i="74"/>
  <c r="I14" i="74"/>
  <c r="J14" i="74"/>
  <c r="D15" i="74"/>
  <c r="E15" i="74"/>
  <c r="H15" i="74"/>
  <c r="I15" i="74"/>
  <c r="J15" i="74"/>
  <c r="D16" i="74"/>
  <c r="E16" i="74"/>
  <c r="H16" i="74"/>
  <c r="I16" i="74"/>
  <c r="J16" i="74"/>
  <c r="D17" i="74"/>
  <c r="E17" i="74"/>
  <c r="H17" i="74"/>
  <c r="I17" i="74"/>
  <c r="J17" i="74"/>
  <c r="D18" i="74"/>
  <c r="E18" i="74"/>
  <c r="H18" i="74"/>
  <c r="I18" i="74"/>
  <c r="J18" i="74"/>
  <c r="D19" i="74"/>
  <c r="E19" i="74"/>
  <c r="H19" i="74"/>
  <c r="I19" i="74"/>
  <c r="J19" i="74"/>
  <c r="D20" i="74"/>
  <c r="E20" i="74"/>
  <c r="H20" i="74"/>
  <c r="I20" i="74"/>
  <c r="J20" i="74"/>
  <c r="D21" i="74"/>
  <c r="E21" i="74"/>
  <c r="H21" i="74"/>
  <c r="I21" i="74"/>
  <c r="J21" i="74"/>
  <c r="D22" i="74"/>
  <c r="E22" i="74"/>
  <c r="H22" i="74"/>
  <c r="I22" i="74"/>
  <c r="J22" i="74"/>
  <c r="D23" i="74"/>
  <c r="E23" i="74"/>
  <c r="H23" i="74"/>
  <c r="I23" i="74"/>
  <c r="J23" i="74"/>
  <c r="D24" i="74"/>
  <c r="E24" i="74"/>
  <c r="H24" i="74"/>
  <c r="I24" i="74"/>
  <c r="J24" i="74"/>
  <c r="D25" i="74"/>
  <c r="E25" i="74"/>
  <c r="H25" i="74"/>
  <c r="I25" i="74"/>
  <c r="J25" i="74"/>
  <c r="D26" i="74"/>
  <c r="E26" i="74"/>
  <c r="H26" i="74"/>
  <c r="I26" i="74"/>
  <c r="J26" i="74"/>
  <c r="D27" i="74"/>
  <c r="E27" i="74"/>
  <c r="H27" i="74"/>
  <c r="I27" i="74"/>
  <c r="J27" i="74"/>
  <c r="D28" i="74"/>
  <c r="E28" i="74"/>
  <c r="H28" i="74"/>
  <c r="I28" i="74"/>
  <c r="J28" i="74"/>
  <c r="D29" i="74"/>
  <c r="E29" i="74"/>
  <c r="H29" i="74"/>
  <c r="I29" i="74"/>
  <c r="J29" i="74"/>
  <c r="D30" i="74"/>
  <c r="E30" i="74"/>
  <c r="H30" i="74"/>
  <c r="I30" i="74"/>
  <c r="J30" i="74"/>
  <c r="D31" i="74"/>
  <c r="E31" i="74"/>
  <c r="H31" i="74"/>
  <c r="I31" i="74"/>
  <c r="J31" i="74"/>
  <c r="D32" i="74"/>
  <c r="E32" i="74"/>
  <c r="H32" i="74"/>
  <c r="I32" i="74"/>
  <c r="J32" i="74"/>
  <c r="D33" i="74"/>
  <c r="E33" i="74"/>
  <c r="H33" i="74"/>
  <c r="I33" i="74"/>
  <c r="J33" i="74"/>
  <c r="D34" i="74"/>
  <c r="E34" i="74"/>
  <c r="H34" i="74"/>
  <c r="I34" i="74"/>
  <c r="J34" i="74"/>
  <c r="D35" i="74"/>
  <c r="E35" i="74"/>
  <c r="H35" i="74"/>
  <c r="I35" i="74"/>
  <c r="J35" i="74"/>
  <c r="D36" i="74"/>
  <c r="E36" i="74"/>
  <c r="H36" i="74"/>
  <c r="I36" i="74"/>
  <c r="J36" i="74"/>
  <c r="D37" i="74"/>
  <c r="E37" i="74"/>
  <c r="H37" i="74"/>
  <c r="I37" i="74"/>
  <c r="J37" i="74"/>
  <c r="D38" i="74"/>
  <c r="E38" i="74"/>
  <c r="H38" i="74"/>
  <c r="I38" i="74"/>
  <c r="J38" i="74"/>
  <c r="D39" i="74"/>
  <c r="E39" i="74"/>
  <c r="H39" i="74"/>
  <c r="I39" i="74"/>
  <c r="J39" i="74"/>
  <c r="D40" i="74"/>
  <c r="E40" i="74"/>
  <c r="H40" i="74"/>
  <c r="I40" i="74"/>
  <c r="J40" i="74"/>
  <c r="D41" i="74"/>
  <c r="E41" i="74"/>
  <c r="H41" i="74"/>
  <c r="I41" i="74"/>
  <c r="J41" i="74"/>
  <c r="D42" i="74"/>
  <c r="E42" i="74"/>
  <c r="H42" i="74"/>
  <c r="I42" i="74"/>
  <c r="J42" i="74"/>
  <c r="D43" i="74"/>
  <c r="E43" i="74"/>
  <c r="H43" i="74"/>
  <c r="I43" i="74"/>
  <c r="J43" i="74"/>
  <c r="D44" i="74"/>
  <c r="E44" i="74"/>
  <c r="H44" i="74"/>
  <c r="I44" i="74"/>
  <c r="J44" i="74"/>
  <c r="C45" i="74"/>
  <c r="F45" i="74"/>
  <c r="G45" i="74"/>
  <c r="E45" i="74" l="1"/>
  <c r="H45" i="74"/>
  <c r="J45" i="74"/>
  <c r="D45" i="74"/>
  <c r="I45" i="74"/>
</calcChain>
</file>

<file path=xl/sharedStrings.xml><?xml version="1.0" encoding="utf-8"?>
<sst xmlns="http://schemas.openxmlformats.org/spreadsheetml/2006/main" count="343" uniqueCount="250">
  <si>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</si>
  <si>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</si>
  <si>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</si>
  <si>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</si>
  <si>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</si>
  <si>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</si>
  <si>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</si>
  <si>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</si>
  <si>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</si>
  <si>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</si>
  <si>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</si>
  <si>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</si>
  <si>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</si>
  <si>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</si>
  <si>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</si>
  <si>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</si>
  <si>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</si>
  <si>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</si>
  <si>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</si>
  <si>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</si>
  <si>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</si>
  <si>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</si>
  <si>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</si>
  <si>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</si>
  <si>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</si>
  <si>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</si>
  <si>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</si>
  <si>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</si>
  <si>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</si>
  <si>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</si>
  <si>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</si>
  <si>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</si>
  <si>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</si>
  <si>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</si>
  <si>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</si>
  <si>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</si>
  <si>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</si>
  <si>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</si>
  <si>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</si>
  <si>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</si>
  <si>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</si>
  <si>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</si>
  <si>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</si>
  <si>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</si>
  <si>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</si>
  <si>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</si>
  <si>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</si>
  <si>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</si>
  <si>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</si>
  <si>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</si>
  <si>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</si>
  <si>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</si>
  <si>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</si>
  <si>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</si>
  <si>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</si>
  <si>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</si>
  <si>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</si>
  <si>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</si>
  <si>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</si>
  <si>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</si>
  <si>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</si>
  <si>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Rodzaj robót</t>
  </si>
  <si>
    <t>D.01.00.00</t>
  </si>
  <si>
    <t>szt.</t>
  </si>
  <si>
    <t>Ilość</t>
  </si>
  <si>
    <t>14</t>
  </si>
  <si>
    <t>9</t>
  </si>
  <si>
    <t>2</t>
  </si>
  <si>
    <t>1</t>
  </si>
  <si>
    <t>8</t>
  </si>
  <si>
    <t>5</t>
  </si>
  <si>
    <t>12</t>
  </si>
  <si>
    <t>Ogółem wartość kosztorysowa robót</t>
  </si>
  <si>
    <t>ROBOTY PRZYGOTOWAWCZE</t>
  </si>
  <si>
    <t>D.01.02.00</t>
  </si>
  <si>
    <t>D.01.02.03</t>
  </si>
  <si>
    <t>WYBURZENIE OBIEKTÓW BUDOWLANYCH</t>
  </si>
  <si>
    <t>-</t>
  </si>
  <si>
    <t>1.1</t>
  </si>
  <si>
    <t>Rozbiórki obiektów kubaturowych</t>
  </si>
  <si>
    <t>rycz.</t>
  </si>
  <si>
    <t>M.22.00.00</t>
  </si>
  <si>
    <t>KORPUSY PODPÓR</t>
  </si>
  <si>
    <t>M.22.01.00</t>
  </si>
  <si>
    <t>M.22.01.01</t>
  </si>
  <si>
    <t>PRZYCZÓŁKI ŻELBETOWE</t>
  </si>
  <si>
    <t>2.1</t>
  </si>
  <si>
    <t>wykonanie korpusów przyczółków z betonu klasy B-30</t>
  </si>
  <si>
    <t>2.2</t>
  </si>
  <si>
    <t>Wywiercenie otworów i osadzenie kotew - nad wodą</t>
  </si>
  <si>
    <t>2.3</t>
  </si>
  <si>
    <t>osadzenie znaków wysokościowych w konstrukcji</t>
  </si>
  <si>
    <t>2.4</t>
  </si>
  <si>
    <t>osadzenie kotew zamocowań barier balustrad itp.</t>
  </si>
  <si>
    <t>kg</t>
  </si>
  <si>
    <t>2.5</t>
  </si>
  <si>
    <t>wykonanie zbrojenia korpusów przyczółków ze stali kl. A-IIIN</t>
  </si>
  <si>
    <t>M.22.51.00</t>
  </si>
  <si>
    <t>3</t>
  </si>
  <si>
    <t>M.22.51.20</t>
  </si>
  <si>
    <t>NAPRAWY POWIERZCHNI BETONOWYCH PODPÓR ZAPRAWAMI TYPU PCC</t>
  </si>
  <si>
    <t>3.1</t>
  </si>
  <si>
    <t xml:space="preserve">Wykonanie naprawy powierzchni podpór zaprawami typu PCC </t>
  </si>
  <si>
    <t>M.23.00.00</t>
  </si>
  <si>
    <t>USTROJE NOŚNE</t>
  </si>
  <si>
    <t>M.23.01.00</t>
  </si>
  <si>
    <t>4</t>
  </si>
  <si>
    <t>M.23.01.01</t>
  </si>
  <si>
    <t>USTRÓJ NOŚNY ŻELBETOWY</t>
  </si>
  <si>
    <t>4.1</t>
  </si>
  <si>
    <t xml:space="preserve">wykonanie ustroju płytowego z betonu klasy B-45 </t>
  </si>
  <si>
    <t>4.2</t>
  </si>
  <si>
    <t>4.3</t>
  </si>
  <si>
    <t>wykonanie zbrojenia ustroju płytowego ze stali klasy A-IIIN</t>
  </si>
  <si>
    <t>M.23.30.00</t>
  </si>
  <si>
    <t>M.23.30.05</t>
  </si>
  <si>
    <t>KAPA CHODNIKOWA "NA MOKRO"</t>
  </si>
  <si>
    <t>5.1</t>
  </si>
  <si>
    <t>wykonanie kapy chodnikowej "na mokro" z betonu klasy B-30</t>
  </si>
  <si>
    <t>5.2</t>
  </si>
  <si>
    <t>osadzenie kotew zamocowań balustrad, barier, latarni itp.</t>
  </si>
  <si>
    <t>5.3</t>
  </si>
  <si>
    <t>wykonanie zbrojenia kapy ze stali klasy A-IIIN</t>
  </si>
  <si>
    <t>M.23.51.00</t>
  </si>
  <si>
    <t>6</t>
  </si>
  <si>
    <t>M.23.51.20</t>
  </si>
  <si>
    <t xml:space="preserve">NAPRAWY POWIERZCHNI BETONU PRZĘSEŁ ZAPRAWAMI TYPU PCC </t>
  </si>
  <si>
    <t>6.1</t>
  </si>
  <si>
    <t>Wykonanie naprawy powierzchni betonu przęseł zaprawami typu PCC</t>
  </si>
  <si>
    <t>M.25.00.00</t>
  </si>
  <si>
    <t>URZĄDZENIA DYLATACYJNE</t>
  </si>
  <si>
    <t>M.25.01.00</t>
  </si>
  <si>
    <t>7</t>
  </si>
  <si>
    <t>M.25.01.03</t>
  </si>
  <si>
    <t>ELASTYCZNE PRZEKRYCIE DYLATACYJNE (bitum modyf. polimerami)</t>
  </si>
  <si>
    <t>7.1</t>
  </si>
  <si>
    <t>wykonanie elastycznego przekrycia dylatacyjnego o dopuszczalnym przemieszczeniu krawędzi do 50 mm</t>
  </si>
  <si>
    <t>M.26.00.00</t>
  </si>
  <si>
    <t>ODWODNIENIE</t>
  </si>
  <si>
    <t>M.26.01.00</t>
  </si>
  <si>
    <t>M.26.01.02</t>
  </si>
  <si>
    <t>SĄCZKI DLA ODWODNIENIA IZOLACJI</t>
  </si>
  <si>
    <t>8.1</t>
  </si>
  <si>
    <t>montaż sączków odwodnienia izolacji - rozwiązanie indywidualne</t>
  </si>
  <si>
    <t>8.2</t>
  </si>
  <si>
    <t>wiercenie otworów śred. fi 52mm pod sączki w płycie pomostu</t>
  </si>
  <si>
    <t>M.26.01.03</t>
  </si>
  <si>
    <t>DRENY DLA ODWODNIENIA IZOLACJI</t>
  </si>
  <si>
    <t>9.1</t>
  </si>
  <si>
    <t>wykonanie drenów z geowłókniny</t>
  </si>
  <si>
    <t>M.26.02.00</t>
  </si>
  <si>
    <t>10</t>
  </si>
  <si>
    <t>M.26.02.08</t>
  </si>
  <si>
    <t>ŚCIEKI LINIOWE</t>
  </si>
  <si>
    <t>10.1</t>
  </si>
  <si>
    <t>montaż ścieku liniowego</t>
  </si>
  <si>
    <t>M.27.00.00</t>
  </si>
  <si>
    <t>HYDROIZOLACJA</t>
  </si>
  <si>
    <t>M.27.01.00</t>
  </si>
  <si>
    <t>11</t>
  </si>
  <si>
    <t>M.27.01.01</t>
  </si>
  <si>
    <t>POWŁOKOWA IZOLACJA BITUMICZNA - "NA ZIMNO"</t>
  </si>
  <si>
    <t>11.1</t>
  </si>
  <si>
    <t>wykonanie powłokowej izolacji bitumicznej układanej "na zimno"</t>
  </si>
  <si>
    <t>M.27.02.00</t>
  </si>
  <si>
    <t>M.27.02.01</t>
  </si>
  <si>
    <t>IZOLACJA Z PAPY ZGRZEWALNEJ - UKŁADANA NA POWIERZCHNIACH BETONOWYCH</t>
  </si>
  <si>
    <t>12.1</t>
  </si>
  <si>
    <t>wykonanie izolacji z papy zgrzewalnej na betonowych płaszczyznach poziomych - 1 x papa</t>
  </si>
  <si>
    <t>M.28.00.00</t>
  </si>
  <si>
    <t>WYPOSAŻENIE POMOSTU</t>
  </si>
  <si>
    <t>M.28.05.00</t>
  </si>
  <si>
    <t>13</t>
  </si>
  <si>
    <t>M.28.05.01</t>
  </si>
  <si>
    <t>BARIERY OCHRONNE STALOWE - "SZTYWNE"</t>
  </si>
  <si>
    <t>13.1</t>
  </si>
  <si>
    <t>montaż barier stalowych - sztywnych z poręczą</t>
  </si>
  <si>
    <t>M.28.15.00</t>
  </si>
  <si>
    <t>M.28.15.01</t>
  </si>
  <si>
    <t>KRAWĘŻNIKI KAMIENNE</t>
  </si>
  <si>
    <t>14.1</t>
  </si>
  <si>
    <t>ustawienie krawężników kamiennych na podlewce z mieszanek niskoskurczowych</t>
  </si>
  <si>
    <t>14.2</t>
  </si>
  <si>
    <t xml:space="preserve">ustawienie krawężników kamiennych na ławie betonowej </t>
  </si>
  <si>
    <t>M.29.00.00</t>
  </si>
  <si>
    <t>ROBOTY PRZYOBIEKTOWE</t>
  </si>
  <si>
    <t>M.29.03.00</t>
  </si>
  <si>
    <t>15</t>
  </si>
  <si>
    <t>M.29.03.01</t>
  </si>
  <si>
    <t>ZASYPKA PRZYCZÓŁKA</t>
  </si>
  <si>
    <t>15.1</t>
  </si>
  <si>
    <t>wykonanie zasypki przyczółka - zasypanie przestrzeni za ścianami przyczółka gruntem niespoistym</t>
  </si>
  <si>
    <t>M.29.15.00</t>
  </si>
  <si>
    <t>16</t>
  </si>
  <si>
    <t>M.29.15.03</t>
  </si>
  <si>
    <t>UMOCNIENIE SKARP STOŻKÓW PRZYCZÓŁKOWYCH MATAMI POLIMEROWYMI, HUMUSOWANIEM I OBSIANIEM TRAWĄ</t>
  </si>
  <si>
    <t>16.1</t>
  </si>
  <si>
    <t>wykonanie umocnienia stożków przyczółkowych matą polimerową, humusowaniem i obsianiem trawą</t>
  </si>
  <si>
    <t>M.30.00.00</t>
  </si>
  <si>
    <t>ROBOTY NAWIERZCHNIOWE I ZABEZPIECZAJĄCE</t>
  </si>
  <si>
    <t>M.30.01.00</t>
  </si>
  <si>
    <t>17</t>
  </si>
  <si>
    <t>M.30.01.02</t>
  </si>
  <si>
    <t>NAWIERZCHNIA JEZDNI MOSTOWEJ Z BETONU ASFALTOWEGO - MODYFIKOWANEGO</t>
  </si>
  <si>
    <t>17.1</t>
  </si>
  <si>
    <t>wykonanie nawierzchni z betonu asfaltowego modyf. - warstwa wiążąca grub. 5 cm</t>
  </si>
  <si>
    <t>17.2</t>
  </si>
  <si>
    <t>wykonanie nawierzchni z betonu asfaltowego modyf. - warstwa ścieralna grub. 3 cm</t>
  </si>
  <si>
    <t>M.30.05.00</t>
  </si>
  <si>
    <t>18</t>
  </si>
  <si>
    <t>M.30.05.06</t>
  </si>
  <si>
    <t>NAWIERZCHNIA CHODNIKA POLIURETANOWO-EPOKSYDOWA</t>
  </si>
  <si>
    <t>18.1</t>
  </si>
  <si>
    <t>wykonanie powłoki zabezpieczającej powierzchnię betonu o gr 3mm z PUR z modyfikacjami  EP</t>
  </si>
  <si>
    <t>M.30.20.00</t>
  </si>
  <si>
    <t>19</t>
  </si>
  <si>
    <t>M.30.20.05</t>
  </si>
  <si>
    <t>ZABEZPIECZENIE ANTYKOROZYJNE POW. BETONOWYCH - ZAMKNIĘCIE POWIERZCHNI O GRUBOŚCI POWŁOKI 0.05&lt;d&lt;0.3 mm</t>
  </si>
  <si>
    <t>19.1</t>
  </si>
  <si>
    <t>wykonanie zabezpieczenia pow. betonowej powłoką o grub. 0.05&lt;d&lt;0.03 mm - dyspersją polimerową</t>
  </si>
  <si>
    <t>Rozbiórki</t>
  </si>
  <si>
    <t>Przyczółki</t>
  </si>
  <si>
    <t>Podpory betonowe</t>
  </si>
  <si>
    <t>Ustroje nośne żelbetowe</t>
  </si>
  <si>
    <t>Kapy chodnikowe</t>
  </si>
  <si>
    <t>Przęsła betonowe</t>
  </si>
  <si>
    <t>Dylatacje szczelne</t>
  </si>
  <si>
    <t>Odwodnienie płyty pomostu</t>
  </si>
  <si>
    <t>Odprowadzenie ścieków</t>
  </si>
  <si>
    <t>Izolacje powłokowe</t>
  </si>
  <si>
    <t>Izolacje arkuszowe</t>
  </si>
  <si>
    <t>Bariery ochronne sztywne</t>
  </si>
  <si>
    <t>Krawężniki</t>
  </si>
  <si>
    <t>Roboty ziemne w rejonie 
przyczółków</t>
  </si>
  <si>
    <t>Umocnienie skarp stożków 
przyczółkowych</t>
  </si>
  <si>
    <t>Nawierzchnie jezdni mostowych</t>
  </si>
  <si>
    <t>Nawierzchnie chodników 
mostowych</t>
  </si>
  <si>
    <t>Zabezpieczenie 
antykorozyjne betonu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</si>
  <si>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</si>
  <si>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Jednostka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</si>
  <si>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</si>
  <si>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Cena
jednostkowa
netto (zł)</t>
  </si>
  <si>
    <t>Wartość
(zł)</t>
  </si>
  <si>
    <t>………………………………………………….......</t>
  </si>
  <si>
    <t>(podpis i pieczęć upełnomocnionego
przedstawiciela Wykonawcy)</t>
  </si>
  <si>
    <t>Wartość kosztorysowa robót bez podatku VAT</t>
  </si>
  <si>
    <t>Wartość  podatku VAT (23%)</t>
  </si>
  <si>
    <t>KOSZTORYS OFERTOWY</t>
  </si>
  <si>
    <t>Remont mostu nad rzeką Młynówka</t>
  </si>
  <si>
    <t>Nr
Specyfikacji Technicznej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</si>
</sst>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\+000"/>
    <numFmt numFmtId="166" formatCode="0.0"/>
    <numFmt numFmtId="167" formatCode="#,##0.0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PL Times New Roman"/>
    </font>
    <font>
      <sz val="11"/>
      <color theme="1"/>
      <name val="Czcionka tekstu podstawowego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</font>
    <font>
      <sz val="10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1" applyNumberFormat="0" applyFont="0" applyFill="0" applyBorder="0" applyProtection="0">
      <alignment vertical="top" wrapText="1"/>
    </xf>
    <xf numFmtId="0" fontId="2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0"/>
    <xf numFmtId="167" fontId="5" fillId="0" borderId="0"/>
    <xf numFmtId="0" fontId="29" fillId="0" borderId="0"/>
  </cellStyleXfs>
  <cellXfs count="102">
    <xf numFmtId="0" fontId="0" fillId="0" borderId="0" xfId="0"/>
    <xf numFmtId="1" fontId="7" fillId="0" borderId="0" xfId="14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12" xfId="0" applyFont="1" applyBorder="1" applyAlignment="1">
      <alignment horizontal="center" vertical="center"/>
    </xf>
    <xf numFmtId="0" fontId="16" fillId="0" borderId="0" xfId="0" applyFont="1"/>
    <xf numFmtId="0" fontId="15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9" fillId="0" borderId="9" xfId="13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9" fillId="0" borderId="18" xfId="13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65" fontId="4" fillId="0" borderId="7" xfId="13" applyNumberFormat="1" applyFont="1" applyBorder="1" applyAlignment="1">
      <alignment horizontal="center" vertical="center"/>
    </xf>
    <xf numFmtId="165" fontId="4" fillId="0" borderId="9" xfId="13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166" fontId="15" fillId="0" borderId="14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5" fontId="4" fillId="0" borderId="22" xfId="13" applyNumberFormat="1" applyFont="1" applyBorder="1" applyAlignment="1">
      <alignment horizontal="center" vertical="center"/>
    </xf>
    <xf numFmtId="166" fontId="15" fillId="0" borderId="15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0" fontId="25" fillId="2" borderId="12" xfId="16" applyNumberFormat="1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25" fillId="2" borderId="15" xfId="16" applyNumberFormat="1" applyFont="1" applyFill="1" applyBorder="1" applyAlignment="1" applyProtection="1">
      <alignment horizontal="left" vertical="center"/>
    </xf>
    <xf numFmtId="0" fontId="25" fillId="2" borderId="15" xfId="16" applyNumberFormat="1" applyFont="1" applyFill="1" applyBorder="1" applyAlignment="1" applyProtection="1">
      <alignment horizontal="center" vertical="center"/>
    </xf>
    <xf numFmtId="4" fontId="25" fillId="2" borderId="15" xfId="16" applyNumberFormat="1" applyFont="1" applyFill="1" applyBorder="1" applyAlignment="1" applyProtection="1">
      <alignment horizontal="left" vertical="center"/>
    </xf>
    <xf numFmtId="49" fontId="25" fillId="2" borderId="12" xfId="16" applyNumberFormat="1" applyFont="1" applyFill="1" applyBorder="1" applyAlignment="1" applyProtection="1">
      <alignment horizontal="left" vertical="center"/>
    </xf>
    <xf numFmtId="4" fontId="25" fillId="2" borderId="12" xfId="16" applyNumberFormat="1" applyFont="1" applyFill="1" applyBorder="1" applyAlignment="1" applyProtection="1">
      <alignment horizontal="left" vertical="center"/>
    </xf>
    <xf numFmtId="4" fontId="26" fillId="0" borderId="12" xfId="22" applyNumberFormat="1" applyFont="1" applyBorder="1" applyAlignment="1" applyProtection="1">
      <alignment horizontal="center" vertical="center"/>
      <protection locked="0"/>
    </xf>
    <xf numFmtId="49" fontId="25" fillId="2" borderId="7" xfId="16" applyNumberFormat="1" applyFont="1" applyFill="1" applyBorder="1" applyAlignment="1" applyProtection="1">
      <alignment horizontal="left" vertical="center"/>
    </xf>
    <xf numFmtId="49" fontId="25" fillId="2" borderId="8" xfId="16" applyNumberFormat="1" applyFont="1" applyFill="1" applyBorder="1" applyAlignment="1" applyProtection="1">
      <alignment horizontal="left" vertical="center"/>
    </xf>
    <xf numFmtId="4" fontId="26" fillId="0" borderId="14" xfId="22" applyNumberFormat="1" applyFont="1" applyBorder="1" applyAlignment="1" applyProtection="1">
      <alignment horizontal="center" vertical="center"/>
      <protection locked="0"/>
    </xf>
    <xf numFmtId="49" fontId="25" fillId="2" borderId="22" xfId="16" applyNumberFormat="1" applyFont="1" applyFill="1" applyBorder="1" applyAlignment="1" applyProtection="1">
      <alignment horizontal="left" vertical="center"/>
    </xf>
    <xf numFmtId="49" fontId="25" fillId="2" borderId="17" xfId="16" applyNumberFormat="1" applyFont="1" applyFill="1" applyBorder="1" applyAlignment="1" applyProtection="1">
      <alignment horizontal="left" vertical="center"/>
    </xf>
    <xf numFmtId="49" fontId="25" fillId="2" borderId="15" xfId="16" applyNumberFormat="1" applyFont="1" applyFill="1" applyBorder="1" applyAlignment="1" applyProtection="1">
      <alignment horizontal="center" vertical="center"/>
    </xf>
    <xf numFmtId="49" fontId="25" fillId="2" borderId="12" xfId="16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8" fillId="4" borderId="18" xfId="0" applyFont="1" applyFill="1" applyBorder="1" applyAlignment="1" applyProtection="1">
      <alignment horizontal="center" vertical="center"/>
    </xf>
    <xf numFmtId="0" fontId="28" fillId="4" borderId="10" xfId="0" applyFont="1" applyFill="1" applyBorder="1" applyAlignment="1" applyProtection="1">
      <alignment horizontal="center" vertical="center" wrapText="1"/>
    </xf>
    <xf numFmtId="0" fontId="28" fillId="4" borderId="10" xfId="0" applyFont="1" applyFill="1" applyBorder="1" applyAlignment="1" applyProtection="1">
      <alignment horizontal="center" vertical="center"/>
    </xf>
    <xf numFmtId="1" fontId="28" fillId="4" borderId="10" xfId="0" applyNumberFormat="1" applyFont="1" applyFill="1" applyBorder="1" applyAlignment="1" applyProtection="1">
      <alignment horizontal="center" vertical="center" wrapText="1"/>
    </xf>
    <xf numFmtId="0" fontId="28" fillId="4" borderId="10" xfId="0" applyNumberFormat="1" applyFont="1" applyFill="1" applyBorder="1" applyAlignment="1" applyProtection="1">
      <alignment horizontal="center" vertical="center" wrapText="1"/>
    </xf>
    <xf numFmtId="4" fontId="28" fillId="4" borderId="10" xfId="0" applyNumberFormat="1" applyFont="1" applyFill="1" applyBorder="1" applyAlignment="1" applyProtection="1">
      <alignment horizontal="center" vertical="center" wrapText="1"/>
    </xf>
    <xf numFmtId="1" fontId="28" fillId="4" borderId="19" xfId="0" applyNumberFormat="1" applyFont="1" applyFill="1" applyBorder="1" applyAlignment="1" applyProtection="1">
      <alignment horizontal="center" vertical="center" wrapText="1"/>
    </xf>
    <xf numFmtId="49" fontId="25" fillId="3" borderId="7" xfId="0" applyNumberFormat="1" applyFont="1" applyFill="1" applyBorder="1" applyAlignment="1" applyProtection="1">
      <alignment horizontal="left" vertical="center"/>
    </xf>
    <xf numFmtId="49" fontId="25" fillId="3" borderId="12" xfId="0" applyNumberFormat="1" applyFont="1" applyFill="1" applyBorder="1" applyAlignment="1" applyProtection="1">
      <alignment horizontal="center" vertical="center"/>
    </xf>
    <xf numFmtId="49" fontId="25" fillId="3" borderId="12" xfId="0" applyNumberFormat="1" applyFont="1" applyFill="1" applyBorder="1" applyAlignment="1" applyProtection="1">
      <alignment horizontal="left" vertical="center"/>
    </xf>
    <xf numFmtId="0" fontId="25" fillId="3" borderId="12" xfId="0" applyNumberFormat="1" applyFont="1" applyFill="1" applyBorder="1" applyAlignment="1" applyProtection="1">
      <alignment horizontal="center" vertical="center"/>
    </xf>
    <xf numFmtId="4" fontId="25" fillId="3" borderId="12" xfId="0" applyNumberFormat="1" applyFont="1" applyFill="1" applyBorder="1" applyAlignment="1" applyProtection="1">
      <alignment horizontal="left" vertical="center"/>
    </xf>
    <xf numFmtId="49" fontId="25" fillId="3" borderId="8" xfId="0" applyNumberFormat="1" applyFont="1" applyFill="1" applyBorder="1" applyAlignment="1" applyProtection="1">
      <alignment horizontal="left" vertical="center"/>
    </xf>
    <xf numFmtId="49" fontId="25" fillId="4" borderId="7" xfId="22" applyNumberFormat="1" applyFont="1" applyFill="1" applyBorder="1" applyAlignment="1" applyProtection="1">
      <alignment horizontal="center" vertical="center"/>
    </xf>
    <xf numFmtId="167" fontId="25" fillId="4" borderId="12" xfId="22" applyFont="1" applyFill="1" applyBorder="1" applyAlignment="1" applyProtection="1">
      <alignment horizontal="center" vertical="center"/>
    </xf>
    <xf numFmtId="167" fontId="25" fillId="4" borderId="12" xfId="22" applyFont="1" applyFill="1" applyBorder="1" applyAlignment="1" applyProtection="1">
      <alignment vertical="center" wrapText="1"/>
    </xf>
    <xf numFmtId="0" fontId="25" fillId="4" borderId="12" xfId="22" applyNumberFormat="1" applyFont="1" applyFill="1" applyBorder="1" applyAlignment="1" applyProtection="1">
      <alignment horizontal="center" vertical="center"/>
    </xf>
    <xf numFmtId="4" fontId="25" fillId="4" borderId="12" xfId="22" applyNumberFormat="1" applyFont="1" applyFill="1" applyBorder="1" applyAlignment="1" applyProtection="1">
      <alignment horizontal="center" vertical="center"/>
    </xf>
    <xf numFmtId="4" fontId="25" fillId="4" borderId="8" xfId="22" applyNumberFormat="1" applyFont="1" applyFill="1" applyBorder="1" applyAlignment="1" applyProtection="1">
      <alignment horizontal="center" vertical="center"/>
    </xf>
    <xf numFmtId="49" fontId="26" fillId="0" borderId="7" xfId="22" applyNumberFormat="1" applyFont="1" applyBorder="1" applyAlignment="1" applyProtection="1">
      <alignment horizontal="center" vertical="center"/>
    </xf>
    <xf numFmtId="167" fontId="26" fillId="0" borderId="12" xfId="22" applyFont="1" applyBorder="1" applyAlignment="1" applyProtection="1">
      <alignment horizontal="center" vertical="center"/>
    </xf>
    <xf numFmtId="167" fontId="26" fillId="0" borderId="12" xfId="22" applyFont="1" applyBorder="1" applyAlignment="1" applyProtection="1">
      <alignment vertical="center" wrapText="1"/>
    </xf>
    <xf numFmtId="0" fontId="26" fillId="0" borderId="12" xfId="22" applyNumberFormat="1" applyFont="1" applyBorder="1" applyAlignment="1" applyProtection="1">
      <alignment horizontal="center" vertical="center"/>
    </xf>
    <xf numFmtId="4" fontId="25" fillId="0" borderId="8" xfId="0" applyNumberFormat="1" applyFont="1" applyFill="1" applyBorder="1" applyAlignment="1" applyProtection="1">
      <alignment horizontal="center" vertical="center" wrapText="1"/>
    </xf>
    <xf numFmtId="167" fontId="25" fillId="4" borderId="12" xfId="22" applyFont="1" applyFill="1" applyBorder="1" applyAlignment="1" applyProtection="1">
      <alignment vertical="center"/>
    </xf>
    <xf numFmtId="4" fontId="26" fillId="4" borderId="8" xfId="22" applyNumberFormat="1" applyFont="1" applyFill="1" applyBorder="1" applyAlignment="1" applyProtection="1">
      <alignment horizontal="center" vertical="center"/>
    </xf>
    <xf numFmtId="49" fontId="26" fillId="0" borderId="9" xfId="22" applyNumberFormat="1" applyFont="1" applyBorder="1" applyAlignment="1" applyProtection="1">
      <alignment horizontal="center" vertical="center"/>
    </xf>
    <xf numFmtId="167" fontId="26" fillId="0" borderId="14" xfId="22" applyFont="1" applyBorder="1" applyAlignment="1" applyProtection="1">
      <alignment horizontal="center" vertical="center"/>
    </xf>
    <xf numFmtId="167" fontId="26" fillId="0" borderId="14" xfId="22" applyFont="1" applyBorder="1" applyAlignment="1" applyProtection="1">
      <alignment vertical="center" wrapText="1"/>
    </xf>
    <xf numFmtId="0" fontId="26" fillId="0" borderId="14" xfId="22" applyNumberFormat="1" applyFont="1" applyBorder="1" applyAlignment="1" applyProtection="1">
      <alignment horizontal="center" vertical="center"/>
    </xf>
    <xf numFmtId="4" fontId="25" fillId="0" borderId="25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4" fontId="25" fillId="0" borderId="15" xfId="22" applyNumberFormat="1" applyFont="1" applyFill="1" applyBorder="1" applyAlignment="1" applyProtection="1">
      <alignment vertical="center"/>
    </xf>
    <xf numFmtId="0" fontId="1" fillId="0" borderId="12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4" fontId="25" fillId="0" borderId="24" xfId="22" applyNumberFormat="1" applyFont="1" applyFill="1" applyBorder="1" applyAlignment="1" applyProtection="1">
      <alignment vertical="center"/>
    </xf>
    <xf numFmtId="0" fontId="24" fillId="0" borderId="12" xfId="0" applyFont="1" applyBorder="1" applyAlignment="1" applyProtection="1">
      <alignment horizontal="right" vertical="center"/>
    </xf>
    <xf numFmtId="0" fontId="24" fillId="0" borderId="23" xfId="0" applyFont="1" applyBorder="1" applyAlignment="1" applyProtection="1">
      <alignment horizontal="right" vertical="center"/>
    </xf>
    <xf numFmtId="4" fontId="23" fillId="0" borderId="13" xfId="22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30" fillId="0" borderId="0" xfId="23" applyFont="1" applyAlignment="1" applyProtection="1">
      <alignment horizontal="center" vertical="center"/>
    </xf>
    <xf numFmtId="0" fontId="28" fillId="0" borderId="0" xfId="23" applyFont="1" applyAlignment="1" applyProtection="1">
      <alignment horizontal="center" vertical="center"/>
    </xf>
  </cellXfs>
  <cellStyles count="24">
    <cellStyle name="Dziesiętny 2" xfId="1" xr:uid="{00000000-0005-0000-0000-000000000000}"/>
    <cellStyle name="Dziesiętny 2 2" xfId="18" xr:uid="{00000000-0005-0000-0000-000001000000}"/>
    <cellStyle name="Dziesiętny 3" xfId="2" xr:uid="{00000000-0005-0000-0000-000002000000}"/>
    <cellStyle name="Dziesiętny 3 2" xfId="3" xr:uid="{00000000-0005-0000-0000-000003000000}"/>
    <cellStyle name="Dziesiętny 3 2 2" xfId="20" xr:uid="{00000000-0005-0000-0000-000004000000}"/>
    <cellStyle name="Dziesiętny 3 3" xfId="19" xr:uid="{00000000-0005-0000-0000-000005000000}"/>
    <cellStyle name="Dziesiętny 4" xfId="17" xr:uid="{00000000-0005-0000-0000-000006000000}"/>
    <cellStyle name="None" xfId="4" xr:uid="{00000000-0005-0000-0000-000007000000}"/>
    <cellStyle name="Normalny" xfId="0" builtinId="0"/>
    <cellStyle name="Normalny 2" xfId="5" xr:uid="{00000000-0005-0000-0000-000009000000}"/>
    <cellStyle name="Normalny 2 2" xfId="6" xr:uid="{00000000-0005-0000-0000-00000A000000}"/>
    <cellStyle name="Normalny 2 2 2" xfId="7" xr:uid="{00000000-0005-0000-0000-00000B000000}"/>
    <cellStyle name="Normalny 2 3" xfId="21" xr:uid="{00000000-0005-0000-0000-00000C000000}"/>
    <cellStyle name="Normalny 2_Wykaz_A2_D1" xfId="8" xr:uid="{00000000-0005-0000-0000-00000D000000}"/>
    <cellStyle name="Normalny 4" xfId="9" xr:uid="{00000000-0005-0000-0000-00000E000000}"/>
    <cellStyle name="Normalny 4 2" xfId="10" xr:uid="{00000000-0005-0000-0000-00000F000000}"/>
    <cellStyle name="Normalny 4 2 2" xfId="11" xr:uid="{00000000-0005-0000-0000-000010000000}"/>
    <cellStyle name="Normalny 4 3" xfId="12" xr:uid="{00000000-0005-0000-0000-000011000000}"/>
    <cellStyle name="Normalny_Droga nr 2 w km 618-625 - przedmiar i kosztorysu" xfId="23" xr:uid="{DAD429E6-7E18-4274-81EF-B321DDF94A0D}"/>
    <cellStyle name="Normalny_koszt" xfId="22" xr:uid="{68E3E58B-FA45-422D-8D1A-A60F59565F6B}"/>
    <cellStyle name="Normalny_TER02" xfId="16" xr:uid="{00000000-0005-0000-0000-000013000000}"/>
    <cellStyle name="Normalny_wykazy 5.4_x" xfId="13" xr:uid="{00000000-0005-0000-0000-000014000000}"/>
    <cellStyle name="Normalny_wykazy_5.5.1" xfId="14" xr:uid="{00000000-0005-0000-0000-000015000000}"/>
    <cellStyle name="Opis" xfId="15" xr:uid="{00000000-0005-0000-0000-000016000000}"/>
  </cellStyles>
  <dxfs count="0"/>
  <tableStyles count="0" defaultTableStyle="TableStyleMedium9" defaultPivotStyle="PivotStyleLight16"/>
  <colors>
    <mruColors>
      <color rgb="FF30F04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Google\0099%20OBIEKTY%20ODECH&#211;W\02%20PROJEKT\04%20PRZEDMIAR\0099%2001%2000%20MD-01%20PRZEDMI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89"/>
  <sheetViews>
    <sheetView tabSelected="1" view="pageBreakPreview" zoomScaleNormal="100" zoomScaleSheetLayoutView="100" workbookViewId="0">
      <selection activeCell="A2" sqref="A2:G2"/>
    </sheetView>
  </sheetViews>
  <sheetFormatPr defaultRowHeight="15"/>
  <cols>
    <col min="1" max="1" width="4.625" style="98" customWidth="1"/>
    <col min="2" max="2" width="9.625" style="98" customWidth="1"/>
    <col min="3" max="3" width="50.625" style="98" customWidth="1"/>
    <col min="4" max="4" width="7.625" style="98" bestFit="1" customWidth="1"/>
    <col min="5" max="5" width="5.625" style="99" customWidth="1"/>
    <col min="6" max="6" width="9.625" style="98" bestFit="1" customWidth="1"/>
    <col min="7" max="7" width="11.625" style="98" customWidth="1"/>
    <col min="8" max="16384" width="9" style="57"/>
  </cols>
  <sheetData>
    <row r="1" spans="1:7" ht="15.75">
      <c r="A1" s="56" t="s">
        <v>247</v>
      </c>
      <c r="B1" s="56"/>
      <c r="C1" s="56"/>
      <c r="D1" s="56"/>
      <c r="E1" s="56"/>
      <c r="F1" s="56"/>
      <c r="G1" s="56"/>
    </row>
    <row r="2" spans="1:7" ht="39.950000000000003" customHeight="1" thickBot="1">
      <c r="A2" s="56" t="s">
        <v>248</v>
      </c>
      <c r="B2" s="56"/>
      <c r="C2" s="56"/>
      <c r="D2" s="56"/>
      <c r="E2" s="56"/>
      <c r="F2" s="56"/>
      <c r="G2" s="56"/>
    </row>
    <row r="3" spans="1:7" ht="39" thickBot="1">
      <c r="A3" s="58" t="s">
        <v>60</v>
      </c>
      <c r="B3" s="59" t="s">
        <v>249</v>
      </c>
      <c r="C3" s="60" t="s">
        <v>61</v>
      </c>
      <c r="D3" s="61" t="s">
        <v>239</v>
      </c>
      <c r="E3" s="62" t="s">
        <v>64</v>
      </c>
      <c r="F3" s="63" t="s">
        <v>241</v>
      </c>
      <c r="G3" s="64" t="s">
        <v>242</v>
      </c>
    </row>
    <row r="4" spans="1:7">
      <c r="A4" s="52"/>
      <c r="B4" s="54" t="s">
        <v>62</v>
      </c>
      <c r="C4" s="43" t="s">
        <v>73</v>
      </c>
      <c r="D4" s="43"/>
      <c r="E4" s="44"/>
      <c r="F4" s="45"/>
      <c r="G4" s="53"/>
    </row>
    <row r="5" spans="1:7">
      <c r="A5" s="65"/>
      <c r="B5" s="66" t="s">
        <v>74</v>
      </c>
      <c r="C5" s="67" t="s">
        <v>220</v>
      </c>
      <c r="D5" s="67"/>
      <c r="E5" s="68"/>
      <c r="F5" s="69"/>
      <c r="G5" s="70"/>
    </row>
    <row r="6" spans="1:7">
      <c r="A6" s="71" t="s">
        <v>68</v>
      </c>
      <c r="B6" s="72" t="s">
        <v>75</v>
      </c>
      <c r="C6" s="73" t="s">
        <v>76</v>
      </c>
      <c r="D6" s="72" t="s">
        <v>77</v>
      </c>
      <c r="E6" s="74"/>
      <c r="F6" s="75"/>
      <c r="G6" s="76"/>
    </row>
    <row r="7" spans="1:7">
      <c r="A7" s="77" t="s">
        <v>78</v>
      </c>
      <c r="B7" s="78" t="s">
        <v>75</v>
      </c>
      <c r="C7" s="79" t="s">
        <v>79</v>
      </c>
      <c r="D7" s="78" t="s">
        <v>80</v>
      </c>
      <c r="E7" s="80">
        <v>3</v>
      </c>
      <c r="F7" s="48"/>
      <c r="G7" s="81">
        <f>ROUND(E7*ROUND(F7,2),2)</f>
        <v>0</v>
      </c>
    </row>
    <row r="8" spans="1:7">
      <c r="A8" s="49"/>
      <c r="B8" s="55" t="s">
        <v>81</v>
      </c>
      <c r="C8" s="46" t="s">
        <v>82</v>
      </c>
      <c r="D8" s="46"/>
      <c r="E8" s="32"/>
      <c r="F8" s="47"/>
      <c r="G8" s="50"/>
    </row>
    <row r="9" spans="1:7">
      <c r="A9" s="65"/>
      <c r="B9" s="66" t="s">
        <v>83</v>
      </c>
      <c r="C9" s="67" t="s">
        <v>221</v>
      </c>
      <c r="D9" s="67"/>
      <c r="E9" s="68"/>
      <c r="F9" s="69"/>
      <c r="G9" s="70"/>
    </row>
    <row r="10" spans="1:7">
      <c r="A10" s="71" t="s">
        <v>67</v>
      </c>
      <c r="B10" s="72" t="s">
        <v>84</v>
      </c>
      <c r="C10" s="73" t="s">
        <v>85</v>
      </c>
      <c r="D10" s="72"/>
      <c r="E10" s="74"/>
      <c r="F10" s="75"/>
      <c r="G10" s="76"/>
    </row>
    <row r="11" spans="1:7" ht="17.25">
      <c r="A11" s="77" t="s">
        <v>86</v>
      </c>
      <c r="B11" s="78" t="s">
        <v>84</v>
      </c>
      <c r="C11" s="79" t="s">
        <v>87</v>
      </c>
      <c r="D11" s="78" t="s">
        <v>240</v>
      </c>
      <c r="E11" s="80">
        <v>7.2</v>
      </c>
      <c r="F11" s="48"/>
      <c r="G11" s="81">
        <f t="shared" ref="G11:G15" si="0">ROUND(E11*ROUND(F11,2),2)</f>
        <v>0</v>
      </c>
    </row>
    <row r="12" spans="1:7">
      <c r="A12" s="77" t="s">
        <v>88</v>
      </c>
      <c r="B12" s="78" t="s">
        <v>84</v>
      </c>
      <c r="C12" s="79" t="s">
        <v>89</v>
      </c>
      <c r="D12" s="78" t="s">
        <v>63</v>
      </c>
      <c r="E12" s="80">
        <v>160</v>
      </c>
      <c r="F12" s="48"/>
      <c r="G12" s="81">
        <f t="shared" si="0"/>
        <v>0</v>
      </c>
    </row>
    <row r="13" spans="1:7">
      <c r="A13" s="77" t="s">
        <v>90</v>
      </c>
      <c r="B13" s="78" t="s">
        <v>84</v>
      </c>
      <c r="C13" s="79" t="s">
        <v>91</v>
      </c>
      <c r="D13" s="78" t="s">
        <v>63</v>
      </c>
      <c r="E13" s="80">
        <v>8</v>
      </c>
      <c r="F13" s="48"/>
      <c r="G13" s="81">
        <f t="shared" si="0"/>
        <v>0</v>
      </c>
    </row>
    <row r="14" spans="1:7">
      <c r="A14" s="77" t="s">
        <v>92</v>
      </c>
      <c r="B14" s="78" t="s">
        <v>84</v>
      </c>
      <c r="C14" s="79" t="s">
        <v>93</v>
      </c>
      <c r="D14" s="78" t="s">
        <v>94</v>
      </c>
      <c r="E14" s="80">
        <v>120</v>
      </c>
      <c r="F14" s="48"/>
      <c r="G14" s="81">
        <f t="shared" si="0"/>
        <v>0</v>
      </c>
    </row>
    <row r="15" spans="1:7">
      <c r="A15" s="77" t="s">
        <v>95</v>
      </c>
      <c r="B15" s="78" t="s">
        <v>84</v>
      </c>
      <c r="C15" s="79" t="s">
        <v>96</v>
      </c>
      <c r="D15" s="78" t="s">
        <v>94</v>
      </c>
      <c r="E15" s="80">
        <v>952</v>
      </c>
      <c r="F15" s="48"/>
      <c r="G15" s="81">
        <f t="shared" si="0"/>
        <v>0</v>
      </c>
    </row>
    <row r="16" spans="1:7">
      <c r="A16" s="65"/>
      <c r="B16" s="66" t="s">
        <v>97</v>
      </c>
      <c r="C16" s="67" t="s">
        <v>222</v>
      </c>
      <c r="D16" s="67"/>
      <c r="E16" s="68"/>
      <c r="F16" s="69"/>
      <c r="G16" s="70"/>
    </row>
    <row r="17" spans="1:7">
      <c r="A17" s="71" t="s">
        <v>98</v>
      </c>
      <c r="B17" s="72" t="s">
        <v>99</v>
      </c>
      <c r="C17" s="82" t="s">
        <v>100</v>
      </c>
      <c r="D17" s="72"/>
      <c r="E17" s="74"/>
      <c r="F17" s="75"/>
      <c r="G17" s="76"/>
    </row>
    <row r="18" spans="1:7" ht="17.25">
      <c r="A18" s="77" t="s">
        <v>101</v>
      </c>
      <c r="B18" s="78" t="s">
        <v>99</v>
      </c>
      <c r="C18" s="79" t="s">
        <v>102</v>
      </c>
      <c r="D18" s="78" t="s">
        <v>238</v>
      </c>
      <c r="E18" s="80">
        <v>84.3</v>
      </c>
      <c r="F18" s="48"/>
      <c r="G18" s="81">
        <f>ROUND(E18*ROUND(F18,2),2)</f>
        <v>0</v>
      </c>
    </row>
    <row r="19" spans="1:7">
      <c r="A19" s="49"/>
      <c r="B19" s="55" t="s">
        <v>103</v>
      </c>
      <c r="C19" s="46" t="s">
        <v>104</v>
      </c>
      <c r="D19" s="46"/>
      <c r="E19" s="32"/>
      <c r="F19" s="47"/>
      <c r="G19" s="50"/>
    </row>
    <row r="20" spans="1:7">
      <c r="A20" s="65"/>
      <c r="B20" s="66" t="s">
        <v>105</v>
      </c>
      <c r="C20" s="67" t="s">
        <v>223</v>
      </c>
      <c r="D20" s="67"/>
      <c r="E20" s="68"/>
      <c r="F20" s="69"/>
      <c r="G20" s="70"/>
    </row>
    <row r="21" spans="1:7">
      <c r="A21" s="71" t="s">
        <v>106</v>
      </c>
      <c r="B21" s="72" t="s">
        <v>107</v>
      </c>
      <c r="C21" s="73" t="s">
        <v>108</v>
      </c>
      <c r="D21" s="72"/>
      <c r="E21" s="74"/>
      <c r="F21" s="75"/>
      <c r="G21" s="76"/>
    </row>
    <row r="22" spans="1:7" ht="17.25">
      <c r="A22" s="77" t="s">
        <v>109</v>
      </c>
      <c r="B22" s="78" t="s">
        <v>107</v>
      </c>
      <c r="C22" s="79" t="s">
        <v>110</v>
      </c>
      <c r="D22" s="78" t="s">
        <v>240</v>
      </c>
      <c r="E22" s="80">
        <v>1.8</v>
      </c>
      <c r="F22" s="48"/>
      <c r="G22" s="81">
        <f t="shared" ref="G22:G24" si="1">ROUND(E22*ROUND(F22,2),2)</f>
        <v>0</v>
      </c>
    </row>
    <row r="23" spans="1:7">
      <c r="A23" s="77" t="s">
        <v>111</v>
      </c>
      <c r="B23" s="78" t="s">
        <v>107</v>
      </c>
      <c r="C23" s="79" t="s">
        <v>91</v>
      </c>
      <c r="D23" s="78" t="s">
        <v>63</v>
      </c>
      <c r="E23" s="80">
        <v>2</v>
      </c>
      <c r="F23" s="48"/>
      <c r="G23" s="81">
        <f t="shared" si="1"/>
        <v>0</v>
      </c>
    </row>
    <row r="24" spans="1:7">
      <c r="A24" s="77" t="s">
        <v>112</v>
      </c>
      <c r="B24" s="78" t="s">
        <v>107</v>
      </c>
      <c r="C24" s="79" t="s">
        <v>113</v>
      </c>
      <c r="D24" s="78" t="s">
        <v>94</v>
      </c>
      <c r="E24" s="80">
        <v>476</v>
      </c>
      <c r="F24" s="48"/>
      <c r="G24" s="81">
        <f t="shared" si="1"/>
        <v>0</v>
      </c>
    </row>
    <row r="25" spans="1:7">
      <c r="A25" s="65"/>
      <c r="B25" s="66" t="s">
        <v>114</v>
      </c>
      <c r="C25" s="67" t="s">
        <v>224</v>
      </c>
      <c r="D25" s="67"/>
      <c r="E25" s="68"/>
      <c r="F25" s="69"/>
      <c r="G25" s="70"/>
    </row>
    <row r="26" spans="1:7">
      <c r="A26" s="71" t="s">
        <v>70</v>
      </c>
      <c r="B26" s="72" t="s">
        <v>115</v>
      </c>
      <c r="C26" s="73" t="s">
        <v>116</v>
      </c>
      <c r="D26" s="72"/>
      <c r="E26" s="74"/>
      <c r="F26" s="75"/>
      <c r="G26" s="76"/>
    </row>
    <row r="27" spans="1:7" ht="17.25">
      <c r="A27" s="77" t="s">
        <v>117</v>
      </c>
      <c r="B27" s="78" t="s">
        <v>115</v>
      </c>
      <c r="C27" s="79" t="s">
        <v>118</v>
      </c>
      <c r="D27" s="78" t="s">
        <v>240</v>
      </c>
      <c r="E27" s="80">
        <v>31.2</v>
      </c>
      <c r="F27" s="48"/>
      <c r="G27" s="81">
        <f t="shared" ref="G27:G29" si="2">ROUND(E27*ROUND(F27,2),2)</f>
        <v>0</v>
      </c>
    </row>
    <row r="28" spans="1:7">
      <c r="A28" s="77" t="s">
        <v>119</v>
      </c>
      <c r="B28" s="78" t="s">
        <v>115</v>
      </c>
      <c r="C28" s="79" t="s">
        <v>120</v>
      </c>
      <c r="D28" s="78" t="s">
        <v>94</v>
      </c>
      <c r="E28" s="80">
        <v>240</v>
      </c>
      <c r="F28" s="48"/>
      <c r="G28" s="81">
        <f t="shared" si="2"/>
        <v>0</v>
      </c>
    </row>
    <row r="29" spans="1:7">
      <c r="A29" s="77" t="s">
        <v>121</v>
      </c>
      <c r="B29" s="78" t="s">
        <v>115</v>
      </c>
      <c r="C29" s="79" t="s">
        <v>122</v>
      </c>
      <c r="D29" s="78" t="s">
        <v>94</v>
      </c>
      <c r="E29" s="80">
        <v>456</v>
      </c>
      <c r="F29" s="48"/>
      <c r="G29" s="81">
        <f t="shared" si="2"/>
        <v>0</v>
      </c>
    </row>
    <row r="30" spans="1:7">
      <c r="A30" s="65"/>
      <c r="B30" s="66" t="s">
        <v>123</v>
      </c>
      <c r="C30" s="67" t="s">
        <v>225</v>
      </c>
      <c r="D30" s="67"/>
      <c r="E30" s="68"/>
      <c r="F30" s="69"/>
      <c r="G30" s="70"/>
    </row>
    <row r="31" spans="1:7">
      <c r="A31" s="71" t="s">
        <v>124</v>
      </c>
      <c r="B31" s="72" t="s">
        <v>125</v>
      </c>
      <c r="C31" s="82" t="s">
        <v>126</v>
      </c>
      <c r="D31" s="72"/>
      <c r="E31" s="74"/>
      <c r="F31" s="75"/>
      <c r="G31" s="76"/>
    </row>
    <row r="32" spans="1:7" ht="30">
      <c r="A32" s="77" t="s">
        <v>127</v>
      </c>
      <c r="B32" s="78" t="s">
        <v>125</v>
      </c>
      <c r="C32" s="79" t="s">
        <v>128</v>
      </c>
      <c r="D32" s="78" t="s">
        <v>238</v>
      </c>
      <c r="E32" s="80">
        <v>96.6</v>
      </c>
      <c r="F32" s="48"/>
      <c r="G32" s="81">
        <f>ROUND(E32*ROUND(F32,2),2)</f>
        <v>0</v>
      </c>
    </row>
    <row r="33" spans="1:7">
      <c r="A33" s="49"/>
      <c r="B33" s="55" t="s">
        <v>129</v>
      </c>
      <c r="C33" s="46" t="s">
        <v>130</v>
      </c>
      <c r="D33" s="46"/>
      <c r="E33" s="32"/>
      <c r="F33" s="47"/>
      <c r="G33" s="50"/>
    </row>
    <row r="34" spans="1:7">
      <c r="A34" s="65"/>
      <c r="B34" s="66" t="s">
        <v>131</v>
      </c>
      <c r="C34" s="67" t="s">
        <v>226</v>
      </c>
      <c r="D34" s="67"/>
      <c r="E34" s="68"/>
      <c r="F34" s="69"/>
      <c r="G34" s="70"/>
    </row>
    <row r="35" spans="1:7">
      <c r="A35" s="71" t="s">
        <v>132</v>
      </c>
      <c r="B35" s="72" t="s">
        <v>133</v>
      </c>
      <c r="C35" s="82" t="s">
        <v>134</v>
      </c>
      <c r="D35" s="72"/>
      <c r="E35" s="74"/>
      <c r="F35" s="75"/>
      <c r="G35" s="76"/>
    </row>
    <row r="36" spans="1:7" ht="30">
      <c r="A36" s="77" t="s">
        <v>135</v>
      </c>
      <c r="B36" s="78" t="s">
        <v>133</v>
      </c>
      <c r="C36" s="79" t="s">
        <v>136</v>
      </c>
      <c r="D36" s="78" t="s">
        <v>50</v>
      </c>
      <c r="E36" s="80">
        <v>18</v>
      </c>
      <c r="F36" s="48"/>
      <c r="G36" s="81">
        <f>ROUND(E36*ROUND(F36,2),2)</f>
        <v>0</v>
      </c>
    </row>
    <row r="37" spans="1:7">
      <c r="A37" s="49"/>
      <c r="B37" s="55" t="s">
        <v>137</v>
      </c>
      <c r="C37" s="46" t="s">
        <v>138</v>
      </c>
      <c r="D37" s="46"/>
      <c r="E37" s="32"/>
      <c r="F37" s="47"/>
      <c r="G37" s="50"/>
    </row>
    <row r="38" spans="1:7">
      <c r="A38" s="65"/>
      <c r="B38" s="66" t="s">
        <v>139</v>
      </c>
      <c r="C38" s="67" t="s">
        <v>227</v>
      </c>
      <c r="D38" s="67"/>
      <c r="E38" s="68"/>
      <c r="F38" s="69"/>
      <c r="G38" s="70"/>
    </row>
    <row r="39" spans="1:7">
      <c r="A39" s="71" t="s">
        <v>69</v>
      </c>
      <c r="B39" s="72" t="s">
        <v>140</v>
      </c>
      <c r="C39" s="73" t="s">
        <v>141</v>
      </c>
      <c r="D39" s="72"/>
      <c r="E39" s="74"/>
      <c r="F39" s="75"/>
      <c r="G39" s="76"/>
    </row>
    <row r="40" spans="1:7" ht="30">
      <c r="A40" s="77" t="s">
        <v>142</v>
      </c>
      <c r="B40" s="78" t="s">
        <v>140</v>
      </c>
      <c r="C40" s="79" t="s">
        <v>143</v>
      </c>
      <c r="D40" s="78" t="s">
        <v>63</v>
      </c>
      <c r="E40" s="80">
        <v>6</v>
      </c>
      <c r="F40" s="48"/>
      <c r="G40" s="81">
        <f t="shared" ref="G40:G41" si="3">ROUND(E40*ROUND(F40,2),2)</f>
        <v>0</v>
      </c>
    </row>
    <row r="41" spans="1:7">
      <c r="A41" s="77" t="s">
        <v>144</v>
      </c>
      <c r="B41" s="78" t="s">
        <v>140</v>
      </c>
      <c r="C41" s="79" t="s">
        <v>145</v>
      </c>
      <c r="D41" s="78" t="s">
        <v>50</v>
      </c>
      <c r="E41" s="80">
        <v>4.2</v>
      </c>
      <c r="F41" s="48"/>
      <c r="G41" s="81">
        <f t="shared" si="3"/>
        <v>0</v>
      </c>
    </row>
    <row r="42" spans="1:7">
      <c r="A42" s="71" t="s">
        <v>66</v>
      </c>
      <c r="B42" s="72" t="s">
        <v>146</v>
      </c>
      <c r="C42" s="73" t="s">
        <v>147</v>
      </c>
      <c r="D42" s="72"/>
      <c r="E42" s="74"/>
      <c r="F42" s="75"/>
      <c r="G42" s="83"/>
    </row>
    <row r="43" spans="1:7">
      <c r="A43" s="77" t="s">
        <v>148</v>
      </c>
      <c r="B43" s="78" t="s">
        <v>146</v>
      </c>
      <c r="C43" s="79" t="s">
        <v>149</v>
      </c>
      <c r="D43" s="78" t="s">
        <v>50</v>
      </c>
      <c r="E43" s="80">
        <v>17</v>
      </c>
      <c r="F43" s="48"/>
      <c r="G43" s="81">
        <f>ROUND(E43*ROUND(F43,2),2)</f>
        <v>0</v>
      </c>
    </row>
    <row r="44" spans="1:7">
      <c r="A44" s="65"/>
      <c r="B44" s="66" t="s">
        <v>150</v>
      </c>
      <c r="C44" s="67" t="s">
        <v>228</v>
      </c>
      <c r="D44" s="67"/>
      <c r="E44" s="68"/>
      <c r="F44" s="69"/>
      <c r="G44" s="70"/>
    </row>
    <row r="45" spans="1:7">
      <c r="A45" s="71" t="s">
        <v>151</v>
      </c>
      <c r="B45" s="72" t="s">
        <v>152</v>
      </c>
      <c r="C45" s="73" t="s">
        <v>153</v>
      </c>
      <c r="D45" s="72"/>
      <c r="E45" s="74"/>
      <c r="F45" s="75"/>
      <c r="G45" s="76"/>
    </row>
    <row r="46" spans="1:7">
      <c r="A46" s="77" t="s">
        <v>154</v>
      </c>
      <c r="B46" s="78" t="s">
        <v>152</v>
      </c>
      <c r="C46" s="79" t="s">
        <v>155</v>
      </c>
      <c r="D46" s="78" t="s">
        <v>50</v>
      </c>
      <c r="E46" s="80">
        <v>9.6</v>
      </c>
      <c r="F46" s="48"/>
      <c r="G46" s="81">
        <f>ROUND(E46*ROUND(F46,2),2)</f>
        <v>0</v>
      </c>
    </row>
    <row r="47" spans="1:7">
      <c r="A47" s="49"/>
      <c r="B47" s="55" t="s">
        <v>156</v>
      </c>
      <c r="C47" s="46" t="s">
        <v>157</v>
      </c>
      <c r="D47" s="46"/>
      <c r="E47" s="32"/>
      <c r="F47" s="47"/>
      <c r="G47" s="50"/>
    </row>
    <row r="48" spans="1:7">
      <c r="A48" s="65"/>
      <c r="B48" s="66" t="s">
        <v>158</v>
      </c>
      <c r="C48" s="67" t="s">
        <v>229</v>
      </c>
      <c r="D48" s="67"/>
      <c r="E48" s="68"/>
      <c r="F48" s="69"/>
      <c r="G48" s="70"/>
    </row>
    <row r="49" spans="1:7">
      <c r="A49" s="71" t="s">
        <v>159</v>
      </c>
      <c r="B49" s="72" t="s">
        <v>160</v>
      </c>
      <c r="C49" s="73" t="s">
        <v>161</v>
      </c>
      <c r="D49" s="72"/>
      <c r="E49" s="74"/>
      <c r="F49" s="75"/>
      <c r="G49" s="76"/>
    </row>
    <row r="50" spans="1:7" ht="30">
      <c r="A50" s="77" t="s">
        <v>162</v>
      </c>
      <c r="B50" s="78" t="s">
        <v>160</v>
      </c>
      <c r="C50" s="79" t="s">
        <v>163</v>
      </c>
      <c r="D50" s="78" t="s">
        <v>238</v>
      </c>
      <c r="E50" s="80">
        <v>80</v>
      </c>
      <c r="F50" s="48"/>
      <c r="G50" s="81">
        <f>ROUND(E50*ROUND(F50,2),2)</f>
        <v>0</v>
      </c>
    </row>
    <row r="51" spans="1:7">
      <c r="A51" s="65"/>
      <c r="B51" s="66" t="s">
        <v>164</v>
      </c>
      <c r="C51" s="67" t="s">
        <v>230</v>
      </c>
      <c r="D51" s="67"/>
      <c r="E51" s="68"/>
      <c r="F51" s="69"/>
      <c r="G51" s="70"/>
    </row>
    <row r="52" spans="1:7">
      <c r="A52" s="71" t="s">
        <v>71</v>
      </c>
      <c r="B52" s="72" t="s">
        <v>165</v>
      </c>
      <c r="C52" s="82" t="s">
        <v>166</v>
      </c>
      <c r="D52" s="72"/>
      <c r="E52" s="74"/>
      <c r="F52" s="75"/>
      <c r="G52" s="76"/>
    </row>
    <row r="53" spans="1:7" ht="30">
      <c r="A53" s="77" t="s">
        <v>167</v>
      </c>
      <c r="B53" s="78" t="s">
        <v>165</v>
      </c>
      <c r="C53" s="79" t="s">
        <v>168</v>
      </c>
      <c r="D53" s="78" t="s">
        <v>238</v>
      </c>
      <c r="E53" s="80">
        <v>28.799999999999997</v>
      </c>
      <c r="F53" s="48"/>
      <c r="G53" s="81">
        <f>ROUND(E53*ROUND(F53,2),2)</f>
        <v>0</v>
      </c>
    </row>
    <row r="54" spans="1:7">
      <c r="A54" s="49"/>
      <c r="B54" s="55" t="s">
        <v>169</v>
      </c>
      <c r="C54" s="46" t="s">
        <v>170</v>
      </c>
      <c r="D54" s="46"/>
      <c r="E54" s="32"/>
      <c r="F54" s="47"/>
      <c r="G54" s="50"/>
    </row>
    <row r="55" spans="1:7">
      <c r="A55" s="65"/>
      <c r="B55" s="66" t="s">
        <v>171</v>
      </c>
      <c r="C55" s="67" t="s">
        <v>231</v>
      </c>
      <c r="D55" s="67"/>
      <c r="E55" s="68"/>
      <c r="F55" s="69"/>
      <c r="G55" s="70"/>
    </row>
    <row r="56" spans="1:7">
      <c r="A56" s="71" t="s">
        <v>172</v>
      </c>
      <c r="B56" s="72" t="s">
        <v>173</v>
      </c>
      <c r="C56" s="73" t="s">
        <v>174</v>
      </c>
      <c r="D56" s="72"/>
      <c r="E56" s="74"/>
      <c r="F56" s="75"/>
      <c r="G56" s="76"/>
    </row>
    <row r="57" spans="1:7">
      <c r="A57" s="77" t="s">
        <v>175</v>
      </c>
      <c r="B57" s="78" t="s">
        <v>173</v>
      </c>
      <c r="C57" s="79" t="s">
        <v>176</v>
      </c>
      <c r="D57" s="78" t="s">
        <v>50</v>
      </c>
      <c r="E57" s="80">
        <v>24</v>
      </c>
      <c r="F57" s="48"/>
      <c r="G57" s="81">
        <f>ROUND(E57*ROUND(F57,2),2)</f>
        <v>0</v>
      </c>
    </row>
    <row r="58" spans="1:7">
      <c r="A58" s="65"/>
      <c r="B58" s="66" t="s">
        <v>177</v>
      </c>
      <c r="C58" s="67" t="s">
        <v>232</v>
      </c>
      <c r="D58" s="67"/>
      <c r="E58" s="68"/>
      <c r="F58" s="69"/>
      <c r="G58" s="70"/>
    </row>
    <row r="59" spans="1:7">
      <c r="A59" s="71" t="s">
        <v>65</v>
      </c>
      <c r="B59" s="72" t="s">
        <v>178</v>
      </c>
      <c r="C59" s="73" t="s">
        <v>179</v>
      </c>
      <c r="D59" s="72"/>
      <c r="E59" s="74"/>
      <c r="F59" s="75"/>
      <c r="G59" s="76"/>
    </row>
    <row r="60" spans="1:7" ht="30">
      <c r="A60" s="77" t="s">
        <v>180</v>
      </c>
      <c r="B60" s="78" t="s">
        <v>178</v>
      </c>
      <c r="C60" s="79" t="s">
        <v>181</v>
      </c>
      <c r="D60" s="78" t="s">
        <v>50</v>
      </c>
      <c r="E60" s="80">
        <v>24</v>
      </c>
      <c r="F60" s="48"/>
      <c r="G60" s="81">
        <f t="shared" ref="G60:G61" si="4">ROUND(E60*ROUND(F60,2),2)</f>
        <v>0</v>
      </c>
    </row>
    <row r="61" spans="1:7">
      <c r="A61" s="77" t="s">
        <v>182</v>
      </c>
      <c r="B61" s="78" t="s">
        <v>178</v>
      </c>
      <c r="C61" s="79" t="s">
        <v>183</v>
      </c>
      <c r="D61" s="78" t="s">
        <v>50</v>
      </c>
      <c r="E61" s="80">
        <v>8</v>
      </c>
      <c r="F61" s="48"/>
      <c r="G61" s="81">
        <f t="shared" si="4"/>
        <v>0</v>
      </c>
    </row>
    <row r="62" spans="1:7">
      <c r="A62" s="49"/>
      <c r="B62" s="55" t="s">
        <v>184</v>
      </c>
      <c r="C62" s="46" t="s">
        <v>185</v>
      </c>
      <c r="D62" s="46"/>
      <c r="E62" s="32"/>
      <c r="F62" s="47"/>
      <c r="G62" s="50"/>
    </row>
    <row r="63" spans="1:7">
      <c r="A63" s="65"/>
      <c r="B63" s="66" t="s">
        <v>186</v>
      </c>
      <c r="C63" s="67" t="s">
        <v>233</v>
      </c>
      <c r="D63" s="67"/>
      <c r="E63" s="68"/>
      <c r="F63" s="69"/>
      <c r="G63" s="70"/>
    </row>
    <row r="64" spans="1:7">
      <c r="A64" s="71" t="s">
        <v>187</v>
      </c>
      <c r="B64" s="72" t="s">
        <v>188</v>
      </c>
      <c r="C64" s="73" t="s">
        <v>189</v>
      </c>
      <c r="D64" s="72"/>
      <c r="E64" s="74"/>
      <c r="F64" s="75"/>
      <c r="G64" s="76"/>
    </row>
    <row r="65" spans="1:7" ht="30">
      <c r="A65" s="77" t="s">
        <v>190</v>
      </c>
      <c r="B65" s="78" t="s">
        <v>188</v>
      </c>
      <c r="C65" s="79" t="s">
        <v>191</v>
      </c>
      <c r="D65" s="78" t="s">
        <v>240</v>
      </c>
      <c r="E65" s="80">
        <v>112</v>
      </c>
      <c r="F65" s="48"/>
      <c r="G65" s="81">
        <f>ROUND(E65*ROUND(F65,2),2)</f>
        <v>0</v>
      </c>
    </row>
    <row r="66" spans="1:7">
      <c r="A66" s="65"/>
      <c r="B66" s="66" t="s">
        <v>192</v>
      </c>
      <c r="C66" s="67" t="s">
        <v>234</v>
      </c>
      <c r="D66" s="67"/>
      <c r="E66" s="68"/>
      <c r="F66" s="69"/>
      <c r="G66" s="70"/>
    </row>
    <row r="67" spans="1:7" ht="30">
      <c r="A67" s="71" t="s">
        <v>193</v>
      </c>
      <c r="B67" s="72" t="s">
        <v>194</v>
      </c>
      <c r="C67" s="73" t="s">
        <v>195</v>
      </c>
      <c r="D67" s="72"/>
      <c r="E67" s="74"/>
      <c r="F67" s="75"/>
      <c r="G67" s="76"/>
    </row>
    <row r="68" spans="1:7" ht="30">
      <c r="A68" s="77" t="s">
        <v>196</v>
      </c>
      <c r="B68" s="78" t="s">
        <v>194</v>
      </c>
      <c r="C68" s="79" t="s">
        <v>197</v>
      </c>
      <c r="D68" s="78" t="s">
        <v>238</v>
      </c>
      <c r="E68" s="80">
        <v>72.8</v>
      </c>
      <c r="F68" s="48"/>
      <c r="G68" s="81">
        <f>ROUND(E68*ROUND(F68,2),2)</f>
        <v>0</v>
      </c>
    </row>
    <row r="69" spans="1:7">
      <c r="A69" s="49"/>
      <c r="B69" s="55" t="s">
        <v>198</v>
      </c>
      <c r="C69" s="46" t="s">
        <v>199</v>
      </c>
      <c r="D69" s="46"/>
      <c r="E69" s="32"/>
      <c r="F69" s="47"/>
      <c r="G69" s="50"/>
    </row>
    <row r="70" spans="1:7">
      <c r="A70" s="65"/>
      <c r="B70" s="66" t="s">
        <v>200</v>
      </c>
      <c r="C70" s="67" t="s">
        <v>235</v>
      </c>
      <c r="D70" s="67"/>
      <c r="E70" s="68"/>
      <c r="F70" s="69"/>
      <c r="G70" s="70"/>
    </row>
    <row r="71" spans="1:7" ht="30">
      <c r="A71" s="71" t="s">
        <v>201</v>
      </c>
      <c r="B71" s="72" t="s">
        <v>202</v>
      </c>
      <c r="C71" s="73" t="s">
        <v>203</v>
      </c>
      <c r="D71" s="72"/>
      <c r="E71" s="74"/>
      <c r="F71" s="75"/>
      <c r="G71" s="76"/>
    </row>
    <row r="72" spans="1:7" ht="30">
      <c r="A72" s="77" t="s">
        <v>204</v>
      </c>
      <c r="B72" s="78" t="s">
        <v>202</v>
      </c>
      <c r="C72" s="79" t="s">
        <v>205</v>
      </c>
      <c r="D72" s="78" t="s">
        <v>238</v>
      </c>
      <c r="E72" s="80">
        <v>8.4</v>
      </c>
      <c r="F72" s="48"/>
      <c r="G72" s="81">
        <f t="shared" ref="G72:G73" si="5">ROUND(E72*ROUND(F72,2),2)</f>
        <v>0</v>
      </c>
    </row>
    <row r="73" spans="1:7" ht="30">
      <c r="A73" s="77" t="s">
        <v>206</v>
      </c>
      <c r="B73" s="78" t="s">
        <v>202</v>
      </c>
      <c r="C73" s="79" t="s">
        <v>207</v>
      </c>
      <c r="D73" s="78" t="s">
        <v>238</v>
      </c>
      <c r="E73" s="80">
        <v>42</v>
      </c>
      <c r="F73" s="48"/>
      <c r="G73" s="81">
        <f t="shared" si="5"/>
        <v>0</v>
      </c>
    </row>
    <row r="74" spans="1:7">
      <c r="A74" s="65"/>
      <c r="B74" s="66" t="s">
        <v>208</v>
      </c>
      <c r="C74" s="67" t="s">
        <v>236</v>
      </c>
      <c r="D74" s="67"/>
      <c r="E74" s="68"/>
      <c r="F74" s="69"/>
      <c r="G74" s="70"/>
    </row>
    <row r="75" spans="1:7">
      <c r="A75" s="71" t="s">
        <v>209</v>
      </c>
      <c r="B75" s="72" t="s">
        <v>210</v>
      </c>
      <c r="C75" s="73" t="s">
        <v>211</v>
      </c>
      <c r="D75" s="72"/>
      <c r="E75" s="74"/>
      <c r="F75" s="75"/>
      <c r="G75" s="76"/>
    </row>
    <row r="76" spans="1:7" ht="30">
      <c r="A76" s="77" t="s">
        <v>212</v>
      </c>
      <c r="B76" s="78" t="s">
        <v>210</v>
      </c>
      <c r="C76" s="79" t="s">
        <v>213</v>
      </c>
      <c r="D76" s="78" t="s">
        <v>238</v>
      </c>
      <c r="E76" s="80">
        <v>20.399999999999999</v>
      </c>
      <c r="F76" s="48"/>
      <c r="G76" s="81">
        <f>ROUND(E76*ROUND(F76,2),2)</f>
        <v>0</v>
      </c>
    </row>
    <row r="77" spans="1:7">
      <c r="A77" s="65"/>
      <c r="B77" s="66" t="s">
        <v>214</v>
      </c>
      <c r="C77" s="67" t="s">
        <v>237</v>
      </c>
      <c r="D77" s="67"/>
      <c r="E77" s="68"/>
      <c r="F77" s="69"/>
      <c r="G77" s="70"/>
    </row>
    <row r="78" spans="1:7" ht="45">
      <c r="A78" s="71" t="s">
        <v>215</v>
      </c>
      <c r="B78" s="72" t="s">
        <v>216</v>
      </c>
      <c r="C78" s="73" t="s">
        <v>217</v>
      </c>
      <c r="D78" s="72"/>
      <c r="E78" s="74"/>
      <c r="F78" s="75"/>
      <c r="G78" s="76"/>
    </row>
    <row r="79" spans="1:7" ht="30.75" thickBot="1">
      <c r="A79" s="84" t="s">
        <v>218</v>
      </c>
      <c r="B79" s="85" t="s">
        <v>216</v>
      </c>
      <c r="C79" s="86" t="s">
        <v>219</v>
      </c>
      <c r="D79" s="85" t="s">
        <v>238</v>
      </c>
      <c r="E79" s="87">
        <v>49.4</v>
      </c>
      <c r="F79" s="51"/>
      <c r="G79" s="88">
        <f>ROUND(E79*ROUND(F79,2),2)</f>
        <v>0</v>
      </c>
    </row>
    <row r="80" spans="1:7">
      <c r="A80" s="89" t="s">
        <v>245</v>
      </c>
      <c r="B80" s="90"/>
      <c r="C80" s="90"/>
      <c r="D80" s="90"/>
      <c r="E80" s="90"/>
      <c r="F80" s="90"/>
      <c r="G80" s="91">
        <f>SUM(G7:G79)</f>
        <v>0</v>
      </c>
    </row>
    <row r="81" spans="1:7" ht="15.75" thickBot="1">
      <c r="A81" s="92" t="s">
        <v>246</v>
      </c>
      <c r="B81" s="93"/>
      <c r="C81" s="93"/>
      <c r="D81" s="93"/>
      <c r="E81" s="93"/>
      <c r="F81" s="93"/>
      <c r="G81" s="94">
        <f>ROUND(G80*0.23,2)</f>
        <v>0</v>
      </c>
    </row>
    <row r="82" spans="1:7" ht="16.5" thickBot="1">
      <c r="A82" s="95" t="s">
        <v>72</v>
      </c>
      <c r="B82" s="95"/>
      <c r="C82" s="95"/>
      <c r="D82" s="95"/>
      <c r="E82" s="95"/>
      <c r="F82" s="96"/>
      <c r="G82" s="97">
        <f>G80+G81</f>
        <v>0</v>
      </c>
    </row>
    <row r="88" spans="1:7">
      <c r="D88" s="100" t="s">
        <v>243</v>
      </c>
    </row>
    <row r="89" spans="1:7">
      <c r="D89" s="101" t="s">
        <v>244</v>
      </c>
    </row>
  </sheetData>
  <sheetProtection algorithmName="SHA-512" hashValue="hAmSFRZnBHIuEwg/nD3VWZbEKMuMZ0Kc8bo7Ntv/UE5zE/iuvxHKtucWdxxn6N6ZIL8rSk/pE8XIWZHAktSqxQ==" saltValue="TQgZj7NueZtO+jJWtr7xkQ==" spinCount="100000" sheet="1" objects="1" scenarios="1"/>
  <mergeCells count="5">
    <mergeCell ref="A1:G1"/>
    <mergeCell ref="A2:G2"/>
    <mergeCell ref="A80:F80"/>
    <mergeCell ref="A81:F81"/>
    <mergeCell ref="A82:F82"/>
  </mergeCells>
  <dataValidations count="1">
    <dataValidation type="decimal" allowBlank="1" showErrorMessage="1" errorTitle="Kosztorys" error="Należy podawać wartości liczbowe większe od zera!" sqref="F4:F79 F2" xr:uid="{B2A7B8E8-7921-4F48-BFAB-B6D437928F20}">
      <formula1>0</formula1>
      <formula2>1E+27</formula2>
    </dataValidation>
  </dataValidations>
  <printOptions horizontalCentered="1"/>
  <pageMargins left="0.78740157480314965" right="0.59055118110236227" top="0.59055118110236227" bottom="0.59055118110236227" header="0.31496062992125984" footer="0.31496062992125984"/>
  <pageSetup paperSize="9" scale="81" orientation="portrait" r:id="rId1"/>
  <headerFooter>
    <oddHeader>&amp;RFormularz 2.3</oddHeader>
    <oddFooter>Strona &amp;P z &amp;N</oddFooter>
  </headerFooter>
  <rowBreaks count="1" manualBreakCount="1"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5"/>
  <sheetViews>
    <sheetView workbookViewId="0"/>
  </sheetViews>
  <sheetFormatPr defaultRowHeight="14.25"/>
  <cols>
    <col min="1" max="1" width="12.25" customWidth="1"/>
    <col min="2" max="2" width="6.125" customWidth="1"/>
    <col min="3" max="3" width="11.375" customWidth="1"/>
    <col min="4" max="4" width="9.875" customWidth="1"/>
    <col min="5" max="5" width="14.375" customWidth="1"/>
    <col min="6" max="6" width="14.75" customWidth="1"/>
    <col min="7" max="7" width="10.125" customWidth="1"/>
    <col min="8" max="8" width="10" customWidth="1"/>
    <col min="9" max="9" width="10.75" customWidth="1"/>
    <col min="10" max="10" width="11.375" customWidth="1"/>
  </cols>
  <sheetData>
    <row r="1" spans="1:11">
      <c r="J1" s="1" t="s">
        <v>0</v>
      </c>
    </row>
    <row r="2" spans="1:11" ht="18">
      <c r="A2" s="3" t="s">
        <v>1</v>
      </c>
      <c r="D2" s="2"/>
      <c r="E2" s="2"/>
      <c r="F2" s="2"/>
      <c r="G2" s="2"/>
      <c r="H2" s="2"/>
    </row>
    <row r="4" spans="1:11" ht="15.75">
      <c r="A4" s="4" t="s">
        <v>2</v>
      </c>
    </row>
    <row r="5" spans="1:11" ht="15" thickBot="1"/>
    <row r="6" spans="1:11" ht="25.5">
      <c r="A6" s="9" t="s">
        <v>54</v>
      </c>
      <c r="B6" s="37" t="s">
        <v>59</v>
      </c>
      <c r="C6" s="10" t="s">
        <v>35</v>
      </c>
      <c r="D6" s="11" t="s">
        <v>37</v>
      </c>
      <c r="E6" s="39" t="s">
        <v>38</v>
      </c>
      <c r="F6" s="39" t="s">
        <v>39</v>
      </c>
      <c r="G6" s="41" t="s">
        <v>40</v>
      </c>
      <c r="H6" s="41" t="s">
        <v>41</v>
      </c>
      <c r="I6" s="41" t="s">
        <v>52</v>
      </c>
      <c r="J6" s="33" t="s">
        <v>42</v>
      </c>
      <c r="K6" s="6"/>
    </row>
    <row r="7" spans="1:11" ht="84.75" customHeight="1" thickBot="1">
      <c r="A7" s="12" t="s">
        <v>3</v>
      </c>
      <c r="B7" s="38"/>
      <c r="C7" s="13" t="s">
        <v>36</v>
      </c>
      <c r="D7" s="14" t="s">
        <v>43</v>
      </c>
      <c r="E7" s="40"/>
      <c r="F7" s="40"/>
      <c r="G7" s="42"/>
      <c r="H7" s="42"/>
      <c r="I7" s="42"/>
      <c r="J7" s="34"/>
      <c r="K7" s="6"/>
    </row>
    <row r="8" spans="1:11" ht="13.5" customHeight="1" thickBot="1">
      <c r="A8" s="15"/>
      <c r="B8" s="16"/>
      <c r="C8" s="17" t="s">
        <v>58</v>
      </c>
      <c r="D8" s="17" t="s">
        <v>51</v>
      </c>
      <c r="E8" s="17" t="s">
        <v>49</v>
      </c>
      <c r="F8" s="17" t="s">
        <v>49</v>
      </c>
      <c r="G8" s="17" t="s">
        <v>49</v>
      </c>
      <c r="H8" s="17" t="s">
        <v>49</v>
      </c>
      <c r="I8" s="17" t="s">
        <v>51</v>
      </c>
      <c r="J8" s="18" t="s">
        <v>49</v>
      </c>
      <c r="K8" s="6"/>
    </row>
    <row r="9" spans="1:11">
      <c r="A9" s="28" t="s">
        <v>4</v>
      </c>
      <c r="B9" s="7" t="s">
        <v>56</v>
      </c>
      <c r="C9" s="29">
        <v>4.5</v>
      </c>
      <c r="D9" s="27">
        <f>0.86*C9*1.1</f>
        <v>4.2570000000000006</v>
      </c>
      <c r="E9" s="27">
        <f>2*0.5*(2.7+0.6)*0.7*1.1</f>
        <v>2.5410000000000004</v>
      </c>
      <c r="F9" s="27">
        <v>26</v>
      </c>
      <c r="G9" s="27">
        <v>5</v>
      </c>
      <c r="H9" s="27">
        <f>4.7*C9*1.1</f>
        <v>23.265000000000004</v>
      </c>
      <c r="I9" s="27">
        <f>0.6*0.3*C9*1.1</f>
        <v>0.89100000000000001</v>
      </c>
      <c r="J9" s="30">
        <f>2*C9*1.1</f>
        <v>9.9</v>
      </c>
      <c r="K9" s="6"/>
    </row>
    <row r="10" spans="1:11">
      <c r="A10" s="19" t="s">
        <v>5</v>
      </c>
      <c r="B10" s="5" t="s">
        <v>56</v>
      </c>
      <c r="C10" s="24">
        <v>4.5</v>
      </c>
      <c r="D10" s="26">
        <f>0.9*C10*1.1</f>
        <v>4.4550000000000001</v>
      </c>
      <c r="E10" s="27">
        <f t="shared" ref="E10:E44" si="0">2*0.5*(2.7+0.6)*0.7*1.1</f>
        <v>2.5410000000000004</v>
      </c>
      <c r="F10" s="22">
        <v>26</v>
      </c>
      <c r="G10" s="22">
        <v>5</v>
      </c>
      <c r="H10" s="27">
        <f>4.7*C10*1.1</f>
        <v>23.265000000000004</v>
      </c>
      <c r="I10" s="27">
        <f t="shared" ref="I10:I44" si="1">0.6*0.3*C10*1.1</f>
        <v>0.89100000000000001</v>
      </c>
      <c r="J10" s="30">
        <f>2*C10*1.1</f>
        <v>9.9</v>
      </c>
      <c r="K10" s="6"/>
    </row>
    <row r="11" spans="1:11">
      <c r="A11" s="19" t="s">
        <v>6</v>
      </c>
      <c r="B11" s="5" t="s">
        <v>55</v>
      </c>
      <c r="C11" s="24">
        <v>4</v>
      </c>
      <c r="D11" s="26">
        <f>0.9*C11*1.1</f>
        <v>3.9600000000000004</v>
      </c>
      <c r="E11" s="27">
        <f t="shared" si="0"/>
        <v>2.5410000000000004</v>
      </c>
      <c r="F11" s="22">
        <v>25</v>
      </c>
      <c r="G11" s="22">
        <v>5</v>
      </c>
      <c r="H11" s="27">
        <f>4.7*C11*1.1</f>
        <v>20.680000000000003</v>
      </c>
      <c r="I11" s="27">
        <f t="shared" si="1"/>
        <v>0.79200000000000004</v>
      </c>
      <c r="J11" s="30">
        <f>2*C11*1.1</f>
        <v>8.8000000000000007</v>
      </c>
      <c r="K11" s="6"/>
    </row>
    <row r="12" spans="1:11">
      <c r="A12" s="19" t="s">
        <v>7</v>
      </c>
      <c r="B12" s="5" t="s">
        <v>55</v>
      </c>
      <c r="C12" s="24">
        <v>4.2</v>
      </c>
      <c r="D12" s="26">
        <f>0.84*C12*1.1</f>
        <v>3.8808000000000002</v>
      </c>
      <c r="E12" s="27">
        <f t="shared" si="0"/>
        <v>2.5410000000000004</v>
      </c>
      <c r="F12" s="22">
        <v>26</v>
      </c>
      <c r="G12" s="22">
        <v>5</v>
      </c>
      <c r="H12" s="27">
        <f>4.8*C12*1.1</f>
        <v>22.176000000000002</v>
      </c>
      <c r="I12" s="27">
        <f t="shared" si="1"/>
        <v>0.83160000000000012</v>
      </c>
      <c r="J12" s="30">
        <f t="shared" ref="J12:J44" si="2">2*C12*1.1</f>
        <v>9.240000000000002</v>
      </c>
      <c r="K12" s="6"/>
    </row>
    <row r="13" spans="1:11">
      <c r="A13" s="19" t="s">
        <v>8</v>
      </c>
      <c r="B13" s="5" t="s">
        <v>56</v>
      </c>
      <c r="C13" s="24">
        <v>4.5</v>
      </c>
      <c r="D13" s="26">
        <f>1.07*C13*1.1</f>
        <v>5.2965000000000009</v>
      </c>
      <c r="E13" s="27">
        <f t="shared" si="0"/>
        <v>2.5410000000000004</v>
      </c>
      <c r="F13" s="22">
        <v>26</v>
      </c>
      <c r="G13" s="22">
        <v>7</v>
      </c>
      <c r="H13" s="27">
        <f>4.5*C13*1.1</f>
        <v>22.275000000000002</v>
      </c>
      <c r="I13" s="27">
        <f t="shared" si="1"/>
        <v>0.89100000000000001</v>
      </c>
      <c r="J13" s="30">
        <f t="shared" si="2"/>
        <v>9.9</v>
      </c>
      <c r="K13" s="6"/>
    </row>
    <row r="14" spans="1:11">
      <c r="A14" s="19" t="s">
        <v>9</v>
      </c>
      <c r="B14" s="5" t="s">
        <v>56</v>
      </c>
      <c r="C14" s="24">
        <v>4.5</v>
      </c>
      <c r="D14" s="26">
        <f>1.09*C14*1.1</f>
        <v>5.3955000000000011</v>
      </c>
      <c r="E14" s="27">
        <f t="shared" si="0"/>
        <v>2.5410000000000004</v>
      </c>
      <c r="F14" s="22">
        <v>26</v>
      </c>
      <c r="G14" s="22">
        <v>7</v>
      </c>
      <c r="H14" s="27">
        <f>4.7*C14*1.1</f>
        <v>23.265000000000004</v>
      </c>
      <c r="I14" s="27">
        <f t="shared" si="1"/>
        <v>0.89100000000000001</v>
      </c>
      <c r="J14" s="30">
        <f t="shared" si="2"/>
        <v>9.9</v>
      </c>
      <c r="K14" s="6"/>
    </row>
    <row r="15" spans="1:11">
      <c r="A15" s="19" t="s">
        <v>10</v>
      </c>
      <c r="B15" s="5" t="s">
        <v>56</v>
      </c>
      <c r="C15" s="24">
        <v>4.5</v>
      </c>
      <c r="D15" s="26">
        <f>0.95*C15*1.1</f>
        <v>4.7024999999999997</v>
      </c>
      <c r="E15" s="27">
        <f t="shared" si="0"/>
        <v>2.5410000000000004</v>
      </c>
      <c r="F15" s="22">
        <v>26</v>
      </c>
      <c r="G15" s="22">
        <v>6</v>
      </c>
      <c r="H15" s="27">
        <f>4.7*C15*1.1</f>
        <v>23.265000000000004</v>
      </c>
      <c r="I15" s="27">
        <f t="shared" si="1"/>
        <v>0.89100000000000001</v>
      </c>
      <c r="J15" s="30">
        <f t="shared" si="2"/>
        <v>9.9</v>
      </c>
      <c r="K15" s="6"/>
    </row>
    <row r="16" spans="1:11">
      <c r="A16" s="19" t="s">
        <v>11</v>
      </c>
      <c r="B16" s="5" t="s">
        <v>56</v>
      </c>
      <c r="C16" s="24">
        <v>6.5</v>
      </c>
      <c r="D16" s="26">
        <f>4.27*C16*1.1</f>
        <v>30.530499999999996</v>
      </c>
      <c r="E16" s="27">
        <f t="shared" si="0"/>
        <v>2.5410000000000004</v>
      </c>
      <c r="F16" s="22">
        <v>32</v>
      </c>
      <c r="G16" s="22">
        <v>12</v>
      </c>
      <c r="H16" s="27">
        <f>5.5*C16*1.1</f>
        <v>39.325000000000003</v>
      </c>
      <c r="I16" s="27">
        <f t="shared" si="1"/>
        <v>1.2869999999999999</v>
      </c>
      <c r="J16" s="30">
        <f t="shared" si="2"/>
        <v>14.3</v>
      </c>
      <c r="K16" s="6"/>
    </row>
    <row r="17" spans="1:11">
      <c r="A17" s="19" t="s">
        <v>12</v>
      </c>
      <c r="B17" s="5" t="s">
        <v>56</v>
      </c>
      <c r="C17" s="24">
        <v>4.5</v>
      </c>
      <c r="D17" s="26">
        <f>0.9*C17*1.1</f>
        <v>4.4550000000000001</v>
      </c>
      <c r="E17" s="27">
        <f t="shared" si="0"/>
        <v>2.5410000000000004</v>
      </c>
      <c r="F17" s="22">
        <v>26</v>
      </c>
      <c r="G17" s="22">
        <v>5</v>
      </c>
      <c r="H17" s="27">
        <f>4.6*C17*1.1</f>
        <v>22.77</v>
      </c>
      <c r="I17" s="27">
        <f t="shared" si="1"/>
        <v>0.89100000000000001</v>
      </c>
      <c r="J17" s="30">
        <f t="shared" si="2"/>
        <v>9.9</v>
      </c>
      <c r="K17" s="6"/>
    </row>
    <row r="18" spans="1:11">
      <c r="A18" s="19" t="s">
        <v>13</v>
      </c>
      <c r="B18" s="5" t="s">
        <v>56</v>
      </c>
      <c r="C18" s="24">
        <v>4.5</v>
      </c>
      <c r="D18" s="26">
        <f>1.09*C18*1.1</f>
        <v>5.3955000000000011</v>
      </c>
      <c r="E18" s="27">
        <f t="shared" si="0"/>
        <v>2.5410000000000004</v>
      </c>
      <c r="F18" s="22">
        <v>26</v>
      </c>
      <c r="G18" s="22">
        <v>6</v>
      </c>
      <c r="H18" s="27">
        <f>4.5*C18*1.1</f>
        <v>22.275000000000002</v>
      </c>
      <c r="I18" s="27">
        <f t="shared" si="1"/>
        <v>0.89100000000000001</v>
      </c>
      <c r="J18" s="30">
        <f t="shared" si="2"/>
        <v>9.9</v>
      </c>
      <c r="K18" s="6"/>
    </row>
    <row r="19" spans="1:11">
      <c r="A19" s="19" t="s">
        <v>14</v>
      </c>
      <c r="B19" s="5" t="s">
        <v>56</v>
      </c>
      <c r="C19" s="24">
        <v>5.7</v>
      </c>
      <c r="D19" s="26">
        <f>2.65*C19*1.1</f>
        <v>16.615500000000001</v>
      </c>
      <c r="E19" s="27">
        <f t="shared" si="0"/>
        <v>2.5410000000000004</v>
      </c>
      <c r="F19" s="22">
        <v>27</v>
      </c>
      <c r="G19" s="22">
        <v>10</v>
      </c>
      <c r="H19" s="27">
        <f>5.1*C19*1.1</f>
        <v>31.977000000000004</v>
      </c>
      <c r="I19" s="27">
        <f t="shared" si="1"/>
        <v>1.1286</v>
      </c>
      <c r="J19" s="30">
        <f t="shared" si="2"/>
        <v>12.540000000000001</v>
      </c>
      <c r="K19" s="6"/>
    </row>
    <row r="20" spans="1:11">
      <c r="A20" s="19" t="s">
        <v>15</v>
      </c>
      <c r="B20" s="5" t="s">
        <v>56</v>
      </c>
      <c r="C20" s="24">
        <v>4.5</v>
      </c>
      <c r="D20" s="26">
        <f>1.26*C20*1.1</f>
        <v>6.2370000000000001</v>
      </c>
      <c r="E20" s="27">
        <f t="shared" si="0"/>
        <v>2.5410000000000004</v>
      </c>
      <c r="F20" s="22">
        <v>26</v>
      </c>
      <c r="G20" s="22">
        <v>6</v>
      </c>
      <c r="H20" s="27">
        <f>4.6*C20*1.1</f>
        <v>22.77</v>
      </c>
      <c r="I20" s="27">
        <f t="shared" si="1"/>
        <v>0.89100000000000001</v>
      </c>
      <c r="J20" s="30">
        <f t="shared" si="2"/>
        <v>9.9</v>
      </c>
      <c r="K20" s="6"/>
    </row>
    <row r="21" spans="1:11">
      <c r="A21" s="19" t="s">
        <v>16</v>
      </c>
      <c r="B21" s="5" t="s">
        <v>56</v>
      </c>
      <c r="C21" s="24">
        <v>4</v>
      </c>
      <c r="D21" s="26">
        <f>0.8*C21*1.1</f>
        <v>3.5200000000000005</v>
      </c>
      <c r="E21" s="27">
        <f t="shared" si="0"/>
        <v>2.5410000000000004</v>
      </c>
      <c r="F21" s="22">
        <v>25</v>
      </c>
      <c r="G21" s="22">
        <v>4</v>
      </c>
      <c r="H21" s="27">
        <f t="shared" ref="H21:H26" si="3">4.4*C21*1.1</f>
        <v>19.360000000000003</v>
      </c>
      <c r="I21" s="27">
        <f t="shared" si="1"/>
        <v>0.79200000000000004</v>
      </c>
      <c r="J21" s="30">
        <f t="shared" si="2"/>
        <v>8.8000000000000007</v>
      </c>
      <c r="K21" s="6"/>
    </row>
    <row r="22" spans="1:11">
      <c r="A22" s="19" t="s">
        <v>17</v>
      </c>
      <c r="B22" s="5" t="s">
        <v>55</v>
      </c>
      <c r="C22" s="24">
        <v>4.2</v>
      </c>
      <c r="D22" s="26">
        <f>0.9*C22*1.1</f>
        <v>4.1580000000000004</v>
      </c>
      <c r="E22" s="27">
        <f t="shared" si="0"/>
        <v>2.5410000000000004</v>
      </c>
      <c r="F22" s="22">
        <v>24</v>
      </c>
      <c r="G22" s="22">
        <v>4</v>
      </c>
      <c r="H22" s="27">
        <f t="shared" si="3"/>
        <v>20.328000000000007</v>
      </c>
      <c r="I22" s="27">
        <f t="shared" si="1"/>
        <v>0.83160000000000012</v>
      </c>
      <c r="J22" s="30">
        <f t="shared" si="2"/>
        <v>9.240000000000002</v>
      </c>
      <c r="K22" s="6"/>
    </row>
    <row r="23" spans="1:11">
      <c r="A23" s="19" t="s">
        <v>18</v>
      </c>
      <c r="B23" s="5" t="s">
        <v>55</v>
      </c>
      <c r="C23" s="24">
        <v>4</v>
      </c>
      <c r="D23" s="26">
        <f>0.86*C23*1.1</f>
        <v>3.7840000000000003</v>
      </c>
      <c r="E23" s="27">
        <f t="shared" si="0"/>
        <v>2.5410000000000004</v>
      </c>
      <c r="F23" s="22">
        <v>24</v>
      </c>
      <c r="G23" s="22">
        <v>4</v>
      </c>
      <c r="H23" s="27">
        <f t="shared" si="3"/>
        <v>19.360000000000003</v>
      </c>
      <c r="I23" s="27">
        <f t="shared" si="1"/>
        <v>0.79200000000000004</v>
      </c>
      <c r="J23" s="30">
        <f t="shared" si="2"/>
        <v>8.8000000000000007</v>
      </c>
      <c r="K23" s="6"/>
    </row>
    <row r="24" spans="1:11">
      <c r="A24" s="19" t="s">
        <v>19</v>
      </c>
      <c r="B24" s="5" t="s">
        <v>56</v>
      </c>
      <c r="C24" s="24">
        <v>4.5</v>
      </c>
      <c r="D24" s="26">
        <f>0.89*C24*1.1</f>
        <v>4.4055</v>
      </c>
      <c r="E24" s="27">
        <f t="shared" si="0"/>
        <v>2.5410000000000004</v>
      </c>
      <c r="F24" s="22">
        <v>24</v>
      </c>
      <c r="G24" s="22">
        <v>4</v>
      </c>
      <c r="H24" s="27">
        <f t="shared" si="3"/>
        <v>21.78</v>
      </c>
      <c r="I24" s="27">
        <f t="shared" si="1"/>
        <v>0.89100000000000001</v>
      </c>
      <c r="J24" s="30">
        <f t="shared" si="2"/>
        <v>9.9</v>
      </c>
      <c r="K24" s="6"/>
    </row>
    <row r="25" spans="1:11">
      <c r="A25" s="19" t="s">
        <v>20</v>
      </c>
      <c r="B25" s="5" t="s">
        <v>56</v>
      </c>
      <c r="C25" s="24">
        <v>4.2</v>
      </c>
      <c r="D25" s="26">
        <f>1*C25*1.1</f>
        <v>4.620000000000001</v>
      </c>
      <c r="E25" s="27">
        <f t="shared" si="0"/>
        <v>2.5410000000000004</v>
      </c>
      <c r="F25" s="22">
        <v>24</v>
      </c>
      <c r="G25" s="22">
        <v>5</v>
      </c>
      <c r="H25" s="27">
        <f t="shared" si="3"/>
        <v>20.328000000000007</v>
      </c>
      <c r="I25" s="27">
        <f t="shared" si="1"/>
        <v>0.83160000000000012</v>
      </c>
      <c r="J25" s="30">
        <f t="shared" si="2"/>
        <v>9.240000000000002</v>
      </c>
      <c r="K25" s="6"/>
    </row>
    <row r="26" spans="1:11">
      <c r="A26" s="19" t="s">
        <v>22</v>
      </c>
      <c r="B26" s="5" t="s">
        <v>56</v>
      </c>
      <c r="C26" s="24">
        <v>4</v>
      </c>
      <c r="D26" s="26">
        <f>0.84*C26*1.1</f>
        <v>3.6960000000000002</v>
      </c>
      <c r="E26" s="27">
        <f t="shared" si="0"/>
        <v>2.5410000000000004</v>
      </c>
      <c r="F26" s="22">
        <v>24</v>
      </c>
      <c r="G26" s="22">
        <v>4</v>
      </c>
      <c r="H26" s="27">
        <f t="shared" si="3"/>
        <v>19.360000000000003</v>
      </c>
      <c r="I26" s="27">
        <f t="shared" si="1"/>
        <v>0.79200000000000004</v>
      </c>
      <c r="J26" s="30">
        <f t="shared" si="2"/>
        <v>8.8000000000000007</v>
      </c>
      <c r="K26" s="6"/>
    </row>
    <row r="27" spans="1:11">
      <c r="A27" s="19" t="s">
        <v>21</v>
      </c>
      <c r="B27" s="5" t="s">
        <v>56</v>
      </c>
      <c r="C27" s="24">
        <v>4.5</v>
      </c>
      <c r="D27" s="26">
        <f>1.21*C27*1.1</f>
        <v>5.9895000000000005</v>
      </c>
      <c r="E27" s="27">
        <f t="shared" si="0"/>
        <v>2.5410000000000004</v>
      </c>
      <c r="F27" s="22">
        <v>24</v>
      </c>
      <c r="G27" s="22">
        <v>7</v>
      </c>
      <c r="H27" s="27">
        <f>4.6*C27*1.1</f>
        <v>22.77</v>
      </c>
      <c r="I27" s="27">
        <f t="shared" si="1"/>
        <v>0.89100000000000001</v>
      </c>
      <c r="J27" s="30">
        <f t="shared" si="2"/>
        <v>9.9</v>
      </c>
      <c r="K27" s="6"/>
    </row>
    <row r="28" spans="1:11">
      <c r="A28" s="19" t="s">
        <v>48</v>
      </c>
      <c r="B28" s="8" t="s">
        <v>57</v>
      </c>
      <c r="C28" s="24">
        <v>4</v>
      </c>
      <c r="D28" s="26">
        <f>0.8*C28*1.1</f>
        <v>3.5200000000000005</v>
      </c>
      <c r="E28" s="27">
        <f t="shared" si="0"/>
        <v>2.5410000000000004</v>
      </c>
      <c r="F28" s="22">
        <v>24</v>
      </c>
      <c r="G28" s="22">
        <v>4</v>
      </c>
      <c r="H28" s="27">
        <f>4.5*C28*1.1</f>
        <v>19.8</v>
      </c>
      <c r="I28" s="27">
        <f t="shared" si="1"/>
        <v>0.79200000000000004</v>
      </c>
      <c r="J28" s="30">
        <f t="shared" si="2"/>
        <v>8.8000000000000007</v>
      </c>
      <c r="K28" s="6"/>
    </row>
    <row r="29" spans="1:11">
      <c r="A29" s="19" t="s">
        <v>47</v>
      </c>
      <c r="B29" s="8" t="s">
        <v>57</v>
      </c>
      <c r="C29" s="24">
        <v>4.5</v>
      </c>
      <c r="D29" s="26">
        <f>1*C29*1.1</f>
        <v>4.95</v>
      </c>
      <c r="E29" s="27">
        <f t="shared" si="0"/>
        <v>2.5410000000000004</v>
      </c>
      <c r="F29" s="22">
        <v>24</v>
      </c>
      <c r="G29" s="22">
        <v>5</v>
      </c>
      <c r="H29" s="27">
        <f>4.5*C29*1.1</f>
        <v>22.275000000000002</v>
      </c>
      <c r="I29" s="27">
        <f t="shared" si="1"/>
        <v>0.89100000000000001</v>
      </c>
      <c r="J29" s="30">
        <f t="shared" si="2"/>
        <v>9.9</v>
      </c>
      <c r="K29" s="6"/>
    </row>
    <row r="30" spans="1:11">
      <c r="A30" s="19" t="s">
        <v>46</v>
      </c>
      <c r="B30" s="8" t="s">
        <v>57</v>
      </c>
      <c r="C30" s="24">
        <v>4.5</v>
      </c>
      <c r="D30" s="26">
        <f>1.29*C30*1.1</f>
        <v>6.3855000000000004</v>
      </c>
      <c r="E30" s="27">
        <f t="shared" si="0"/>
        <v>2.5410000000000004</v>
      </c>
      <c r="F30" s="22">
        <v>24</v>
      </c>
      <c r="G30" s="22">
        <v>6</v>
      </c>
      <c r="H30" s="27">
        <f>4.5*C30*1.1</f>
        <v>22.275000000000002</v>
      </c>
      <c r="I30" s="27">
        <f t="shared" si="1"/>
        <v>0.89100000000000001</v>
      </c>
      <c r="J30" s="30">
        <f t="shared" si="2"/>
        <v>9.9</v>
      </c>
      <c r="K30" s="6"/>
    </row>
    <row r="31" spans="1:11">
      <c r="A31" s="19" t="s">
        <v>45</v>
      </c>
      <c r="B31" s="8" t="s">
        <v>57</v>
      </c>
      <c r="C31" s="24">
        <v>4.5</v>
      </c>
      <c r="D31" s="26">
        <f>1.15*C31*1.1</f>
        <v>5.6924999999999999</v>
      </c>
      <c r="E31" s="27">
        <f t="shared" si="0"/>
        <v>2.5410000000000004</v>
      </c>
      <c r="F31" s="22">
        <v>24</v>
      </c>
      <c r="G31" s="22">
        <v>6</v>
      </c>
      <c r="H31" s="27">
        <f>4.5*C31*1.1</f>
        <v>22.275000000000002</v>
      </c>
      <c r="I31" s="27">
        <f t="shared" si="1"/>
        <v>0.89100000000000001</v>
      </c>
      <c r="J31" s="30">
        <f t="shared" si="2"/>
        <v>9.9</v>
      </c>
      <c r="K31" s="6"/>
    </row>
    <row r="32" spans="1:11">
      <c r="A32" s="19" t="s">
        <v>44</v>
      </c>
      <c r="B32" s="8" t="s">
        <v>57</v>
      </c>
      <c r="C32" s="24">
        <v>4.5</v>
      </c>
      <c r="D32" s="26">
        <f>1*C32*1.1</f>
        <v>4.95</v>
      </c>
      <c r="E32" s="27">
        <f t="shared" si="0"/>
        <v>2.5410000000000004</v>
      </c>
      <c r="F32" s="22">
        <v>24</v>
      </c>
      <c r="G32" s="22">
        <v>6</v>
      </c>
      <c r="H32" s="27">
        <f t="shared" ref="H32:H43" si="4">4.5*C32*1.1</f>
        <v>22.275000000000002</v>
      </c>
      <c r="I32" s="27">
        <f t="shared" si="1"/>
        <v>0.89100000000000001</v>
      </c>
      <c r="J32" s="30">
        <f t="shared" si="2"/>
        <v>9.9</v>
      </c>
      <c r="K32" s="6"/>
    </row>
    <row r="33" spans="1:11">
      <c r="A33" s="19" t="s">
        <v>23</v>
      </c>
      <c r="B33" s="5" t="s">
        <v>56</v>
      </c>
      <c r="C33" s="24">
        <v>4.5</v>
      </c>
      <c r="D33" s="26">
        <f>1.61*C33*1.1</f>
        <v>7.9695000000000009</v>
      </c>
      <c r="E33" s="27">
        <f t="shared" si="0"/>
        <v>2.5410000000000004</v>
      </c>
      <c r="F33" s="22">
        <v>24</v>
      </c>
      <c r="G33" s="22">
        <v>6</v>
      </c>
      <c r="H33" s="27">
        <f>5.6*C33*1.1</f>
        <v>27.720000000000002</v>
      </c>
      <c r="I33" s="27">
        <f t="shared" si="1"/>
        <v>0.89100000000000001</v>
      </c>
      <c r="J33" s="30">
        <f t="shared" si="2"/>
        <v>9.9</v>
      </c>
      <c r="K33" s="6"/>
    </row>
    <row r="34" spans="1:11">
      <c r="A34" s="19" t="s">
        <v>24</v>
      </c>
      <c r="B34" s="5" t="s">
        <v>56</v>
      </c>
      <c r="C34" s="24">
        <v>4.7</v>
      </c>
      <c r="D34" s="26">
        <f>1.46*C34*1.1</f>
        <v>7.5482000000000005</v>
      </c>
      <c r="E34" s="27">
        <f t="shared" si="0"/>
        <v>2.5410000000000004</v>
      </c>
      <c r="F34" s="22">
        <v>24</v>
      </c>
      <c r="G34" s="22">
        <v>7</v>
      </c>
      <c r="H34" s="27">
        <f t="shared" si="4"/>
        <v>23.265000000000004</v>
      </c>
      <c r="I34" s="27">
        <f t="shared" si="1"/>
        <v>0.93060000000000009</v>
      </c>
      <c r="J34" s="30">
        <f t="shared" si="2"/>
        <v>10.340000000000002</v>
      </c>
      <c r="K34" s="6"/>
    </row>
    <row r="35" spans="1:11">
      <c r="A35" s="19" t="s">
        <v>25</v>
      </c>
      <c r="B35" s="5" t="s">
        <v>56</v>
      </c>
      <c r="C35" s="24">
        <v>4.5</v>
      </c>
      <c r="D35" s="26">
        <f>0.9*C35*1.1</f>
        <v>4.4550000000000001</v>
      </c>
      <c r="E35" s="27">
        <f t="shared" si="0"/>
        <v>2.5410000000000004</v>
      </c>
      <c r="F35" s="22">
        <v>24</v>
      </c>
      <c r="G35" s="22">
        <v>4</v>
      </c>
      <c r="H35" s="27">
        <f t="shared" si="4"/>
        <v>22.275000000000002</v>
      </c>
      <c r="I35" s="27">
        <f t="shared" si="1"/>
        <v>0.89100000000000001</v>
      </c>
      <c r="J35" s="30">
        <f t="shared" si="2"/>
        <v>9.9</v>
      </c>
      <c r="K35" s="6"/>
    </row>
    <row r="36" spans="1:11">
      <c r="A36" s="19" t="s">
        <v>26</v>
      </c>
      <c r="B36" s="5" t="s">
        <v>56</v>
      </c>
      <c r="C36" s="24">
        <v>4</v>
      </c>
      <c r="D36" s="26">
        <f>0.8*C36*1.1</f>
        <v>3.5200000000000005</v>
      </c>
      <c r="E36" s="27">
        <f t="shared" si="0"/>
        <v>2.5410000000000004</v>
      </c>
      <c r="F36" s="22">
        <v>24</v>
      </c>
      <c r="G36" s="22">
        <v>4</v>
      </c>
      <c r="H36" s="27">
        <f t="shared" si="4"/>
        <v>19.8</v>
      </c>
      <c r="I36" s="27">
        <f t="shared" si="1"/>
        <v>0.79200000000000004</v>
      </c>
      <c r="J36" s="30">
        <f t="shared" si="2"/>
        <v>8.8000000000000007</v>
      </c>
      <c r="K36" s="6"/>
    </row>
    <row r="37" spans="1:11">
      <c r="A37" s="19" t="s">
        <v>27</v>
      </c>
      <c r="B37" s="5" t="s">
        <v>56</v>
      </c>
      <c r="C37" s="24">
        <v>7</v>
      </c>
      <c r="D37" s="26">
        <f>4.92*C37*1.1</f>
        <v>37.884</v>
      </c>
      <c r="E37" s="27">
        <f t="shared" si="0"/>
        <v>2.5410000000000004</v>
      </c>
      <c r="F37" s="22">
        <v>35</v>
      </c>
      <c r="G37" s="22">
        <v>12</v>
      </c>
      <c r="H37" s="27">
        <f>5.5*C37*1.1</f>
        <v>42.35</v>
      </c>
      <c r="I37" s="27">
        <f t="shared" si="1"/>
        <v>1.3860000000000001</v>
      </c>
      <c r="J37" s="30">
        <f t="shared" si="2"/>
        <v>15.400000000000002</v>
      </c>
      <c r="K37" s="6"/>
    </row>
    <row r="38" spans="1:11">
      <c r="A38" s="19" t="s">
        <v>28</v>
      </c>
      <c r="B38" s="5" t="s">
        <v>56</v>
      </c>
      <c r="C38" s="24">
        <v>5.5</v>
      </c>
      <c r="D38" s="26">
        <f>2.69*C38*1.1</f>
        <v>16.2745</v>
      </c>
      <c r="E38" s="27">
        <f t="shared" si="0"/>
        <v>2.5410000000000004</v>
      </c>
      <c r="F38" s="22">
        <v>27</v>
      </c>
      <c r="G38" s="22">
        <v>10</v>
      </c>
      <c r="H38" s="27">
        <f t="shared" si="4"/>
        <v>27.225000000000001</v>
      </c>
      <c r="I38" s="27">
        <f t="shared" si="1"/>
        <v>1.089</v>
      </c>
      <c r="J38" s="30">
        <f t="shared" si="2"/>
        <v>12.100000000000001</v>
      </c>
      <c r="K38" s="6"/>
    </row>
    <row r="39" spans="1:11">
      <c r="A39" s="19" t="s">
        <v>29</v>
      </c>
      <c r="B39" s="5" t="s">
        <v>56</v>
      </c>
      <c r="C39" s="24">
        <v>4.5</v>
      </c>
      <c r="D39" s="26">
        <f>1*C39*1.1</f>
        <v>4.95</v>
      </c>
      <c r="E39" s="27">
        <f t="shared" si="0"/>
        <v>2.5410000000000004</v>
      </c>
      <c r="F39" s="22">
        <v>24</v>
      </c>
      <c r="G39" s="22">
        <v>6</v>
      </c>
      <c r="H39" s="27">
        <f t="shared" si="4"/>
        <v>22.275000000000002</v>
      </c>
      <c r="I39" s="27">
        <f t="shared" si="1"/>
        <v>0.89100000000000001</v>
      </c>
      <c r="J39" s="30">
        <f t="shared" si="2"/>
        <v>9.9</v>
      </c>
      <c r="K39" s="6"/>
    </row>
    <row r="40" spans="1:11">
      <c r="A40" s="19" t="s">
        <v>30</v>
      </c>
      <c r="B40" s="5" t="s">
        <v>56</v>
      </c>
      <c r="C40" s="24">
        <v>4.5</v>
      </c>
      <c r="D40" s="26">
        <f>1*C40*1.1</f>
        <v>4.95</v>
      </c>
      <c r="E40" s="27">
        <f t="shared" si="0"/>
        <v>2.5410000000000004</v>
      </c>
      <c r="F40" s="22">
        <v>24</v>
      </c>
      <c r="G40" s="22">
        <v>6</v>
      </c>
      <c r="H40" s="27">
        <f t="shared" si="4"/>
        <v>22.275000000000002</v>
      </c>
      <c r="I40" s="27">
        <f t="shared" si="1"/>
        <v>0.89100000000000001</v>
      </c>
      <c r="J40" s="30">
        <f t="shared" si="2"/>
        <v>9.9</v>
      </c>
      <c r="K40" s="6"/>
    </row>
    <row r="41" spans="1:11">
      <c r="A41" s="19" t="s">
        <v>31</v>
      </c>
      <c r="B41" s="5" t="s">
        <v>55</v>
      </c>
      <c r="C41" s="24">
        <v>4.5</v>
      </c>
      <c r="D41" s="26">
        <f>16.8*C41*1.1</f>
        <v>83.160000000000011</v>
      </c>
      <c r="E41" s="27">
        <f t="shared" si="0"/>
        <v>2.5410000000000004</v>
      </c>
      <c r="F41" s="22"/>
      <c r="G41" s="22">
        <v>8</v>
      </c>
      <c r="H41" s="27">
        <f>21*C41*1.1</f>
        <v>103.95</v>
      </c>
      <c r="I41" s="27">
        <f t="shared" si="1"/>
        <v>0.89100000000000001</v>
      </c>
      <c r="J41" s="30">
        <f t="shared" si="2"/>
        <v>9.9</v>
      </c>
      <c r="K41" s="6"/>
    </row>
    <row r="42" spans="1:11">
      <c r="A42" s="19" t="s">
        <v>32</v>
      </c>
      <c r="B42" s="5" t="s">
        <v>55</v>
      </c>
      <c r="C42" s="24">
        <v>7</v>
      </c>
      <c r="D42" s="26">
        <f>5.1*C42*1.1</f>
        <v>39.269999999999996</v>
      </c>
      <c r="E42" s="27">
        <f t="shared" si="0"/>
        <v>2.5410000000000004</v>
      </c>
      <c r="F42" s="22">
        <v>26</v>
      </c>
      <c r="G42" s="22">
        <v>10</v>
      </c>
      <c r="H42" s="27">
        <f>4.6*C42*1.1</f>
        <v>35.42</v>
      </c>
      <c r="I42" s="27">
        <f t="shared" si="1"/>
        <v>1.3860000000000001</v>
      </c>
      <c r="J42" s="30">
        <f t="shared" si="2"/>
        <v>15.400000000000002</v>
      </c>
      <c r="K42" s="6"/>
    </row>
    <row r="43" spans="1:11">
      <c r="A43" s="19" t="s">
        <v>33</v>
      </c>
      <c r="B43" s="5" t="s">
        <v>55</v>
      </c>
      <c r="C43" s="24">
        <v>4</v>
      </c>
      <c r="D43" s="26">
        <f>0.85*C43*1.1</f>
        <v>3.74</v>
      </c>
      <c r="E43" s="27">
        <f t="shared" si="0"/>
        <v>2.5410000000000004</v>
      </c>
      <c r="F43" s="22">
        <v>24</v>
      </c>
      <c r="G43" s="22">
        <v>5</v>
      </c>
      <c r="H43" s="27">
        <f t="shared" si="4"/>
        <v>19.8</v>
      </c>
      <c r="I43" s="27">
        <f t="shared" si="1"/>
        <v>0.79200000000000004</v>
      </c>
      <c r="J43" s="30">
        <f t="shared" si="2"/>
        <v>8.8000000000000007</v>
      </c>
      <c r="K43" s="6"/>
    </row>
    <row r="44" spans="1:11" ht="15" thickBot="1">
      <c r="A44" s="20" t="s">
        <v>34</v>
      </c>
      <c r="B44" s="21" t="s">
        <v>55</v>
      </c>
      <c r="C44" s="25">
        <v>4.5</v>
      </c>
      <c r="D44" s="26">
        <f>1.55*C44*1.1</f>
        <v>7.6725000000000012</v>
      </c>
      <c r="E44" s="27">
        <f t="shared" si="0"/>
        <v>2.5410000000000004</v>
      </c>
      <c r="F44" s="23">
        <v>45</v>
      </c>
      <c r="G44" s="23">
        <v>6</v>
      </c>
      <c r="H44" s="27">
        <f>6*C44*1.1</f>
        <v>29.700000000000003</v>
      </c>
      <c r="I44" s="27">
        <f t="shared" si="1"/>
        <v>0.89100000000000001</v>
      </c>
      <c r="J44" s="30">
        <f t="shared" si="2"/>
        <v>9.9</v>
      </c>
      <c r="K44" s="6"/>
    </row>
    <row r="45" spans="1:11" ht="15.75" thickBot="1">
      <c r="A45" s="35" t="s">
        <v>53</v>
      </c>
      <c r="B45" s="36"/>
      <c r="C45" s="31">
        <f>SUM(C9:C44)</f>
        <v>167</v>
      </c>
      <c r="D45" s="31">
        <f t="shared" ref="D45:J45" si="5">SUM(D9:D44)</f>
        <v>372.24550000000005</v>
      </c>
      <c r="E45" s="31">
        <f t="shared" si="5"/>
        <v>91.475999999999928</v>
      </c>
      <c r="F45" s="31">
        <f>SUM(F9:F44)</f>
        <v>908</v>
      </c>
      <c r="G45" s="31">
        <f t="shared" si="5"/>
        <v>222</v>
      </c>
      <c r="H45" s="31">
        <f t="shared" si="5"/>
        <v>945.54899999999998</v>
      </c>
      <c r="I45" s="31">
        <f t="shared" si="5"/>
        <v>33.065999999999981</v>
      </c>
      <c r="J45" s="31">
        <f t="shared" si="5"/>
        <v>367.4</v>
      </c>
    </row>
  </sheetData>
  <customSheetViews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 ofertowy</vt:lpstr>
      <vt:lpstr>&lt;--przepusty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rbebenek</dc:creator>
  <cp:lastModifiedBy>Robert Bębenek</cp:lastModifiedBy>
  <cp:lastPrinted>2020-09-03T09:09:20Z</cp:lastPrinted>
  <dcterms:created xsi:type="dcterms:W3CDTF">2010-07-09T16:08:03Z</dcterms:created>
  <dcterms:modified xsi:type="dcterms:W3CDTF">2020-09-03T09:17:48Z</dcterms:modified>
</cp:coreProperties>
</file>