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_Przetargi 2020\Zad. 20 Przebudowa drogi 3536W + remont mostu\"/>
    </mc:Choice>
  </mc:AlternateContent>
  <xr:revisionPtr revIDLastSave="0" documentId="13_ncr:1_{77BDA531-57A7-46BF-A55E-EE1A117AD7FD}" xr6:coauthVersionLast="45" xr6:coauthVersionMax="45" xr10:uidLastSave="{00000000-0000-0000-0000-000000000000}"/>
  <bookViews>
    <workbookView xWindow="-120" yWindow="-120" windowWidth="29040" windowHeight="15840" tabRatio="803" xr2:uid="{00000000-000D-0000-FFFF-FFFF00000000}"/>
  </bookViews>
  <sheets>
    <sheet name="Kosztorys ofertowy" sheetId="85" r:id="rId1"/>
    <sheet name="&lt;--przepusty" sheetId="74" state="hidden" r:id="rId2"/>
  </sheets>
  <externalReferences>
    <externalReference r:id="rId3"/>
  </externalReferences>
  <definedNames>
    <definedName name="_od1">#REF!</definedName>
    <definedName name="_od2">#REF!</definedName>
    <definedName name="_od3">#REF!</definedName>
    <definedName name="_od4">#REF!</definedName>
    <definedName name="_ods1">#REF!</definedName>
    <definedName name="_ods2">#REF!</definedName>
    <definedName name="_ods3">#REF!</definedName>
    <definedName name="_ods4">#REF!</definedName>
    <definedName name="_xlnm.Print_Area" localSheetId="0">'Kosztorys ofertowy'!$A$1:$G$94</definedName>
    <definedName name="_xlnm.Print_Area">#REF!</definedName>
    <definedName name="posz1">#REF!</definedName>
    <definedName name="posz2">#REF!</definedName>
    <definedName name="posz3">#REF!</definedName>
    <definedName name="_xlnm.Print_Titles" localSheetId="0">'Kosztorys ofertowy'!$3:$3</definedName>
    <definedName name="_xlnm.Print_Titles">#REF!</definedName>
    <definedName name="waluta">[1]Opcje!$B$2</definedName>
    <definedName name="Z_5E068C25_D435_46DE_A64A_D205E9289932_.wvu.PrintArea" localSheetId="1" hidden="1">'&lt;--przepusty'!$A$1:$J$45</definedName>
    <definedName name="Z_D77CCF3B_D797_41D0_B6E1_DD959026208A_.wvu.PrintArea" localSheetId="1" hidden="1">'&lt;--przepusty'!$A$1:$J$45</definedName>
  </definedNames>
  <calcPr calcId="191029"/>
  <customWorkbookViews>
    <customWorkbookView name="skrk - Widok osobisty" guid="{DFD46085-7CA0-4148-BC6E-BB530038F726}" mergeInterval="0" personalView="1" maximized="1" xWindow="1" yWindow="1" windowWidth="1916" windowHeight="983" tabRatio="938" activeSheetId="56"/>
    <customWorkbookView name="lewl - Widok osobisty" guid="{D77CCF3B-D797-41D0-B6E1-DD959026208A}" mergeInterval="0" personalView="1" maximized="1" xWindow="1" yWindow="1" windowWidth="1810" windowHeight="999" tabRatio="938" activeSheetId="3"/>
    <customWorkbookView name="kalr - Widok osobisty" guid="{5E068C25-D435-46DE-A64A-D205E9289932}" mergeInterval="0" personalView="1" maximized="1" xWindow="1" yWindow="1" windowWidth="1920" windowHeight="983" tabRatio="938" activeSheetId="58"/>
    <customWorkbookView name="wojl - Widok osobisty" guid="{0083642F-FC64-4801-91A4-9AFA22F77273}" mergeInterval="0" personalView="1" xWindow="6" yWindow="25" windowWidth="3499" windowHeight="1050" tabRatio="938" activeSheetId="64"/>
  </customWorkbookViews>
</workbook>
</file>

<file path=xl/calcChain.xml><?xml version="1.0" encoding="utf-8"?>
<calcChain xmlns="http://schemas.openxmlformats.org/spreadsheetml/2006/main">
  <c r="G84" i="85" l="1"/>
  <c r="G81" i="85"/>
  <c r="G79" i="85"/>
  <c r="G77" i="85"/>
  <c r="G74" i="85"/>
  <c r="G73" i="85"/>
  <c r="G72" i="85"/>
  <c r="G71" i="85"/>
  <c r="G69" i="85"/>
  <c r="G68" i="85"/>
  <c r="G67" i="85"/>
  <c r="G64" i="85"/>
  <c r="G62" i="85"/>
  <c r="G61" i="85"/>
  <c r="G59" i="85"/>
  <c r="G57" i="85"/>
  <c r="G56" i="85"/>
  <c r="G53" i="85"/>
  <c r="G51" i="85"/>
  <c r="G49" i="85"/>
  <c r="G48" i="85"/>
  <c r="G47" i="85"/>
  <c r="G45" i="85"/>
  <c r="G42" i="85"/>
  <c r="G40" i="85"/>
  <c r="G38" i="85"/>
  <c r="G37" i="85"/>
  <c r="G35" i="85"/>
  <c r="G33" i="85"/>
  <c r="G32" i="85"/>
  <c r="G31" i="85"/>
  <c r="G29" i="85"/>
  <c r="G27" i="85"/>
  <c r="G26" i="85"/>
  <c r="G25" i="85"/>
  <c r="G24" i="85"/>
  <c r="G21" i="85"/>
  <c r="G19" i="85"/>
  <c r="G16" i="85"/>
  <c r="G15" i="85"/>
  <c r="G14" i="85"/>
  <c r="G12" i="85"/>
  <c r="G11" i="85"/>
  <c r="G10" i="85"/>
  <c r="G9" i="85"/>
  <c r="G8" i="85"/>
  <c r="G6" i="85"/>
  <c r="G85" i="85" l="1"/>
  <c r="G86" i="85" s="1"/>
  <c r="A9" i="85"/>
  <c r="G87" i="85" l="1"/>
  <c r="A10" i="85"/>
  <c r="A11" i="85" l="1"/>
  <c r="A12" i="85" l="1"/>
  <c r="A14" i="85" s="1"/>
  <c r="A15" i="85" s="1"/>
  <c r="A16" i="85" l="1"/>
  <c r="A19" i="85" s="1"/>
  <c r="D9" i="74"/>
  <c r="E9" i="74"/>
  <c r="H9" i="74"/>
  <c r="I9" i="74"/>
  <c r="J9" i="74"/>
  <c r="D10" i="74"/>
  <c r="E10" i="74"/>
  <c r="H10" i="74"/>
  <c r="I10" i="74"/>
  <c r="J10" i="74"/>
  <c r="D11" i="74"/>
  <c r="E11" i="74"/>
  <c r="H11" i="74"/>
  <c r="I11" i="74"/>
  <c r="J11" i="74"/>
  <c r="D12" i="74"/>
  <c r="E12" i="74"/>
  <c r="H12" i="74"/>
  <c r="I12" i="74"/>
  <c r="J12" i="74"/>
  <c r="D13" i="74"/>
  <c r="E13" i="74"/>
  <c r="H13" i="74"/>
  <c r="I13" i="74"/>
  <c r="J13" i="74"/>
  <c r="D14" i="74"/>
  <c r="E14" i="74"/>
  <c r="H14" i="74"/>
  <c r="I14" i="74"/>
  <c r="J14" i="74"/>
  <c r="D15" i="74"/>
  <c r="E15" i="74"/>
  <c r="H15" i="74"/>
  <c r="I15" i="74"/>
  <c r="J15" i="74"/>
  <c r="D16" i="74"/>
  <c r="E16" i="74"/>
  <c r="H16" i="74"/>
  <c r="I16" i="74"/>
  <c r="J16" i="74"/>
  <c r="D17" i="74"/>
  <c r="E17" i="74"/>
  <c r="H17" i="74"/>
  <c r="I17" i="74"/>
  <c r="J17" i="74"/>
  <c r="D18" i="74"/>
  <c r="E18" i="74"/>
  <c r="H18" i="74"/>
  <c r="I18" i="74"/>
  <c r="J18" i="74"/>
  <c r="D19" i="74"/>
  <c r="E19" i="74"/>
  <c r="H19" i="74"/>
  <c r="I19" i="74"/>
  <c r="J19" i="74"/>
  <c r="D20" i="74"/>
  <c r="E20" i="74"/>
  <c r="H20" i="74"/>
  <c r="I20" i="74"/>
  <c r="J20" i="74"/>
  <c r="D21" i="74"/>
  <c r="E21" i="74"/>
  <c r="H21" i="74"/>
  <c r="I21" i="74"/>
  <c r="J21" i="74"/>
  <c r="D22" i="74"/>
  <c r="E22" i="74"/>
  <c r="H22" i="74"/>
  <c r="I22" i="74"/>
  <c r="J22" i="74"/>
  <c r="D23" i="74"/>
  <c r="E23" i="74"/>
  <c r="H23" i="74"/>
  <c r="I23" i="74"/>
  <c r="J23" i="74"/>
  <c r="D24" i="74"/>
  <c r="E24" i="74"/>
  <c r="H24" i="74"/>
  <c r="I24" i="74"/>
  <c r="J24" i="74"/>
  <c r="D25" i="74"/>
  <c r="E25" i="74"/>
  <c r="H25" i="74"/>
  <c r="I25" i="74"/>
  <c r="J25" i="74"/>
  <c r="D26" i="74"/>
  <c r="E26" i="74"/>
  <c r="H26" i="74"/>
  <c r="I26" i="74"/>
  <c r="J26" i="74"/>
  <c r="D27" i="74"/>
  <c r="E27" i="74"/>
  <c r="H27" i="74"/>
  <c r="I27" i="74"/>
  <c r="J27" i="74"/>
  <c r="D28" i="74"/>
  <c r="E28" i="74"/>
  <c r="H28" i="74"/>
  <c r="I28" i="74"/>
  <c r="J28" i="74"/>
  <c r="D29" i="74"/>
  <c r="E29" i="74"/>
  <c r="H29" i="74"/>
  <c r="I29" i="74"/>
  <c r="J29" i="74"/>
  <c r="D30" i="74"/>
  <c r="E30" i="74"/>
  <c r="H30" i="74"/>
  <c r="I30" i="74"/>
  <c r="J30" i="74"/>
  <c r="D31" i="74"/>
  <c r="E31" i="74"/>
  <c r="H31" i="74"/>
  <c r="I31" i="74"/>
  <c r="J31" i="74"/>
  <c r="D32" i="74"/>
  <c r="E32" i="74"/>
  <c r="H32" i="74"/>
  <c r="I32" i="74"/>
  <c r="J32" i="74"/>
  <c r="D33" i="74"/>
  <c r="E33" i="74"/>
  <c r="H33" i="74"/>
  <c r="I33" i="74"/>
  <c r="J33" i="74"/>
  <c r="D34" i="74"/>
  <c r="E34" i="74"/>
  <c r="H34" i="74"/>
  <c r="I34" i="74"/>
  <c r="J34" i="74"/>
  <c r="D35" i="74"/>
  <c r="E35" i="74"/>
  <c r="H35" i="74"/>
  <c r="I35" i="74"/>
  <c r="J35" i="74"/>
  <c r="D36" i="74"/>
  <c r="E36" i="74"/>
  <c r="H36" i="74"/>
  <c r="I36" i="74"/>
  <c r="J36" i="74"/>
  <c r="D37" i="74"/>
  <c r="E37" i="74"/>
  <c r="H37" i="74"/>
  <c r="I37" i="74"/>
  <c r="J37" i="74"/>
  <c r="D38" i="74"/>
  <c r="E38" i="74"/>
  <c r="H38" i="74"/>
  <c r="I38" i="74"/>
  <c r="J38" i="74"/>
  <c r="D39" i="74"/>
  <c r="E39" i="74"/>
  <c r="H39" i="74"/>
  <c r="I39" i="74"/>
  <c r="J39" i="74"/>
  <c r="D40" i="74"/>
  <c r="E40" i="74"/>
  <c r="H40" i="74"/>
  <c r="I40" i="74"/>
  <c r="J40" i="74"/>
  <c r="D41" i="74"/>
  <c r="E41" i="74"/>
  <c r="H41" i="74"/>
  <c r="I41" i="74"/>
  <c r="J41" i="74"/>
  <c r="D42" i="74"/>
  <c r="E42" i="74"/>
  <c r="H42" i="74"/>
  <c r="I42" i="74"/>
  <c r="J42" i="74"/>
  <c r="D43" i="74"/>
  <c r="E43" i="74"/>
  <c r="H43" i="74"/>
  <c r="I43" i="74"/>
  <c r="J43" i="74"/>
  <c r="D44" i="74"/>
  <c r="E44" i="74"/>
  <c r="H44" i="74"/>
  <c r="I44" i="74"/>
  <c r="J44" i="74"/>
  <c r="C45" i="74"/>
  <c r="F45" i="74"/>
  <c r="G45" i="74"/>
  <c r="E45" i="74" l="1"/>
  <c r="H45" i="74"/>
  <c r="J45" i="74"/>
  <c r="D45" i="74"/>
  <c r="I45" i="74"/>
  <c r="A21" i="85" l="1"/>
  <c r="A24" i="85" s="1"/>
  <c r="A25" i="85" l="1"/>
  <c r="A26" i="85" l="1"/>
  <c r="A27" i="85" l="1"/>
  <c r="A29" i="85" l="1"/>
  <c r="A31" i="85" s="1"/>
  <c r="A32" i="85" l="1"/>
  <c r="A33" i="85" l="1"/>
  <c r="A35" i="85" s="1"/>
  <c r="A37" i="85" l="1"/>
  <c r="A38" i="85" s="1"/>
  <c r="A40" i="85" l="1"/>
  <c r="A42" i="85" l="1"/>
  <c r="A45" i="85" l="1"/>
  <c r="A47" i="85" s="1"/>
  <c r="A48" i="85" l="1"/>
  <c r="A49" i="85" s="1"/>
  <c r="A51" i="85" l="1"/>
  <c r="A53" i="85" s="1"/>
  <c r="A56" i="85" l="1"/>
  <c r="A57" i="85" s="1"/>
  <c r="A59" i="85" s="1"/>
  <c r="A61" i="85" l="1"/>
  <c r="A62" i="85" l="1"/>
  <c r="A64" i="85" l="1"/>
  <c r="A68" i="85" l="1"/>
  <c r="A69" i="85" l="1"/>
  <c r="A71" i="85" l="1"/>
  <c r="A72" i="85" l="1"/>
  <c r="A73" i="85" l="1"/>
  <c r="A77" i="85" l="1"/>
  <c r="A81" i="85" l="1"/>
</calcChain>
</file>

<file path=xl/sharedStrings.xml><?xml version="1.0" encoding="utf-8"?>
<sst xmlns="http://schemas.openxmlformats.org/spreadsheetml/2006/main" count="273" uniqueCount="196">
  <si>
    <t>Wykaz  - 18</t>
  </si>
  <si>
    <t>WYKAZ ROBÓT PRZY BUDOWIE PRZEPUSTÓW POD PRZEJŚCIAMI AWARYJNYMI</t>
  </si>
  <si>
    <t>Autostrada A2 odcinek D1, km 431+500.00 - km 441+143.53</t>
  </si>
  <si>
    <t>km autostrady A2</t>
  </si>
  <si>
    <t xml:space="preserve">432+846.00 </t>
  </si>
  <si>
    <t xml:space="preserve">433+021.00 </t>
  </si>
  <si>
    <t xml:space="preserve">433+233.00 </t>
  </si>
  <si>
    <t xml:space="preserve">433+416.00 </t>
  </si>
  <si>
    <t xml:space="preserve">433+675.00 </t>
  </si>
  <si>
    <t xml:space="preserve">433+855.00 </t>
  </si>
  <si>
    <t xml:space="preserve">434+030.00 </t>
  </si>
  <si>
    <t xml:space="preserve">434+993.00 </t>
  </si>
  <si>
    <t xml:space="preserve">435+186.00 </t>
  </si>
  <si>
    <t xml:space="preserve">435+379.00 </t>
  </si>
  <si>
    <t xml:space="preserve">435+572.00 </t>
  </si>
  <si>
    <t xml:space="preserve">435+765.00 </t>
  </si>
  <si>
    <t xml:space="preserve">435+958.00 </t>
  </si>
  <si>
    <t xml:space="preserve">436+350.00 </t>
  </si>
  <si>
    <t xml:space="preserve">436+550.00 </t>
  </si>
  <si>
    <t xml:space="preserve">436+600.00 </t>
  </si>
  <si>
    <t xml:space="preserve">436+800.00 </t>
  </si>
  <si>
    <t xml:space="preserve">438+409.00 </t>
  </si>
  <si>
    <t xml:space="preserve">438+225.00 </t>
  </si>
  <si>
    <t xml:space="preserve">439+016.00 </t>
  </si>
  <si>
    <t xml:space="preserve">439+216.00 </t>
  </si>
  <si>
    <t xml:space="preserve">439+402.00 </t>
  </si>
  <si>
    <t xml:space="preserve">439+592.00 </t>
  </si>
  <si>
    <t xml:space="preserve">439+774.00 </t>
  </si>
  <si>
    <t xml:space="preserve">439+960.00 </t>
  </si>
  <si>
    <t xml:space="preserve">440+146.00 </t>
  </si>
  <si>
    <t xml:space="preserve">440+300.00 </t>
  </si>
  <si>
    <t xml:space="preserve">440+512.00 </t>
  </si>
  <si>
    <t xml:space="preserve">440+712.00 </t>
  </si>
  <si>
    <t xml:space="preserve">440+912.00 </t>
  </si>
  <si>
    <t xml:space="preserve">441+112.00 </t>
  </si>
  <si>
    <t>Długość rury stalowej</t>
  </si>
  <si>
    <t>DN 500</t>
  </si>
  <si>
    <t>Nasyp</t>
  </si>
  <si>
    <t>Umocnienie brukiem na podbud. z piasku stab. cement. czoła przepustu</t>
  </si>
  <si>
    <t>Umocnienie brukiem na podbud. z piasku stab. cement. wlotu i wylotu przepustu</t>
  </si>
  <si>
    <t>Umocnienie darniną</t>
  </si>
  <si>
    <t>Geotkanina polipropylenowa</t>
  </si>
  <si>
    <t>Geowłóknina polipropylenowa</t>
  </si>
  <si>
    <t>Mieszanka żwir.-piask.   0-32mm</t>
  </si>
  <si>
    <t>0+638.00 DL 2</t>
  </si>
  <si>
    <t>0+484.40 DL 2</t>
  </si>
  <si>
    <t>0+326.40 DL 2</t>
  </si>
  <si>
    <t>0+039.00 DL 1</t>
  </si>
  <si>
    <t>0+235.00 DL 1</t>
  </si>
  <si>
    <t>km</t>
  </si>
  <si>
    <t>m2</t>
  </si>
  <si>
    <t>m</t>
  </si>
  <si>
    <t>m3</t>
  </si>
  <si>
    <t>Materac z kruszywa naturalnego</t>
  </si>
  <si>
    <t>SUMA:</t>
  </si>
  <si>
    <t>Lokalizacja</t>
  </si>
  <si>
    <t>L</t>
  </si>
  <si>
    <t>P</t>
  </si>
  <si>
    <t>__</t>
  </si>
  <si>
    <t>mb</t>
  </si>
  <si>
    <t>Strona</t>
  </si>
  <si>
    <t>L.p.</t>
  </si>
  <si>
    <t>Nr Specyfikacji Technicznej</t>
  </si>
  <si>
    <t>Rodzaj robót</t>
  </si>
  <si>
    <t>D.01.00.00</t>
  </si>
  <si>
    <t xml:space="preserve"> ROBOTY PRZYGOTOWAWCZE</t>
  </si>
  <si>
    <t>D.01.01.01</t>
  </si>
  <si>
    <t>PODBUDOWY</t>
  </si>
  <si>
    <t>D.05.00.00</t>
  </si>
  <si>
    <t>NAWIERZCHNIE</t>
  </si>
  <si>
    <t>D.04.01.01</t>
  </si>
  <si>
    <t>Koryto wraz z profilowaniem i zagęszczeniem podłoża</t>
  </si>
  <si>
    <t>D.04.05.01</t>
  </si>
  <si>
    <t>D.08.00.00</t>
  </si>
  <si>
    <t>D.08.01.01</t>
  </si>
  <si>
    <t>D.08.03.01</t>
  </si>
  <si>
    <t>Betonowe obrzeża chodnikowe</t>
  </si>
  <si>
    <t>szt</t>
  </si>
  <si>
    <t>D.04.00.00</t>
  </si>
  <si>
    <t>D.04.04.02</t>
  </si>
  <si>
    <t>Oczyszczenie i skropienie warstw konstrukcyjnych</t>
  </si>
  <si>
    <t>D.04.03.01</t>
  </si>
  <si>
    <t>Podbudowa z kruszyw stabilizowanych mechanicznie</t>
  </si>
  <si>
    <t>ELEMENTY ULIC I DRÓG</t>
  </si>
  <si>
    <t>Wykonanie chodników z kostki brukowej o grubości 6 cm, szarej na podsypce cementowo-piaskowej, spoiny wypełnione piaskiem</t>
  </si>
  <si>
    <t>D.08.02.02</t>
  </si>
  <si>
    <t>Odtworzenie trasy i punktów wysokościowych</t>
  </si>
  <si>
    <t>Chodniki z kostki brukowej betonowej</t>
  </si>
  <si>
    <t>Krawężniki betonowe na ławie betonowej</t>
  </si>
  <si>
    <t>Nawierzchnie z betonu asfaltowego</t>
  </si>
  <si>
    <t>Podbudowa z kruszyw ulepszonych cementem</t>
  </si>
  <si>
    <t>D.05.03.05A</t>
  </si>
  <si>
    <t>D.02.00.00</t>
  </si>
  <si>
    <t>ROBOTY ZIEMNE</t>
  </si>
  <si>
    <t>D.02.01.01</t>
  </si>
  <si>
    <t>Wykopy w gruntach kat. I-V</t>
  </si>
  <si>
    <t>D.02.03.01</t>
  </si>
  <si>
    <t>Nasypy z gruntów kat. I-IV</t>
  </si>
  <si>
    <t>D.06.00.00</t>
  </si>
  <si>
    <t>ROBOTY WYKOŃCZENIOWE</t>
  </si>
  <si>
    <t>D.04.02.01</t>
  </si>
  <si>
    <t>D.04.07.01</t>
  </si>
  <si>
    <t>Podbudowa z betonu asfaltowego</t>
  </si>
  <si>
    <t>D.05.03.11</t>
  </si>
  <si>
    <t>Frezowanie nawierzchni asfaltowych na zimno</t>
  </si>
  <si>
    <t>D.05.03.27</t>
  </si>
  <si>
    <t>Zab. geosiatką nawierzchni asfaltowej przed spękaniami</t>
  </si>
  <si>
    <t>Ułożenie geosiatki o wytrzymałości powyżej 80 kN/m na styku połączeń nowej nawierzchni z istniejącą nawierzchnią</t>
  </si>
  <si>
    <t>D.06.01.10</t>
  </si>
  <si>
    <t>Pobocze utwardzone kruszywem łamanym</t>
  </si>
  <si>
    <t>Wykonanie poboczy z kruszywa naturalnego grubości 15 cm po zagęszczeniu</t>
  </si>
  <si>
    <t>D.06.02.01</t>
  </si>
  <si>
    <t>Przepusty pod zjazdami i wzdłuż rowów</t>
  </si>
  <si>
    <t>D.07.00.00</t>
  </si>
  <si>
    <t>URZĄDZENIA BEZPIECZEŃSTWA RUCHU</t>
  </si>
  <si>
    <t>D.07.01.01</t>
  </si>
  <si>
    <t>Oznakowanie Poziome</t>
  </si>
  <si>
    <t>D.07.02.01</t>
  </si>
  <si>
    <t>Oznakowanie Pionowe</t>
  </si>
  <si>
    <t>Ustawienie słupków z rur stalowych ø70 dla znaków drogowych, wraz z wykopaniem i zasypaniem dołów z ubiciem warstwami</t>
  </si>
  <si>
    <t>Przymocowanie do gotowych słupków znaków ostrzegawczych typ A średnie folia II generacji</t>
  </si>
  <si>
    <t>Przymocowanie do gotowych słupków znaków informacyjnych typ D średnie folia II generacji</t>
  </si>
  <si>
    <t>D.01.03.02</t>
  </si>
  <si>
    <t>Rozbiórka budowli inżynieryjnych</t>
  </si>
  <si>
    <t>Zdjęcie tarcz znaków drogowych</t>
  </si>
  <si>
    <t>Rozebranie słupków do znaków drogowych</t>
  </si>
  <si>
    <t>t</t>
  </si>
  <si>
    <t>Rozebranie części przelotowej przepustów z rur betonowych śr 40cm</t>
  </si>
  <si>
    <t>Rozebranie wiaty przystankowej murowanej</t>
  </si>
  <si>
    <t>Rozebranie ścianek czołowych i ław fundamentowych przepustów</t>
  </si>
  <si>
    <t>Koryto wykonane pod zjazdami i pasem postojowym, mechanicznie w gruncie kat. II-IV, głębokość koryta 30cm</t>
  </si>
  <si>
    <t>Koryto wykonane pod chodnikami, mechanicznie w gruncie kat. II-IV, głębokość koryta 20cm</t>
  </si>
  <si>
    <t>Koryto wykonane pod poboczami, mechanicznie w gruncie kat. II-IV, głębokość koryta 15cm</t>
  </si>
  <si>
    <t>Profilowanie i zagęszczenie podłoża pod warstwy konstrukcyjne nawierzchni wykonane mechanicznie w gruncie kat. II-IV</t>
  </si>
  <si>
    <t>Warstwy odsączajace, mrozoochronne</t>
  </si>
  <si>
    <t>Wykonanie warstwy odsączającej z piasku, grubość warstwy 10cm (pod zjazdami)</t>
  </si>
  <si>
    <t>Wykonanie podbudowy z gruntu stabilizowanego cementem C3/4, grubość warstwy po zagęszczeniu 10 cm (pod chodnikami)</t>
  </si>
  <si>
    <t>Wykonanie podbudowy z mieszanki mineralno-asfaltowej AC 16P, grubość warstwy po zagęszczeniu 8 cm - poszerzenie jezdni (559*1,12)</t>
  </si>
  <si>
    <t>D.04.08.01</t>
  </si>
  <si>
    <t>Wyrównanie podbudowy betonem asfaltowym</t>
  </si>
  <si>
    <t>D.05.01.00</t>
  </si>
  <si>
    <t>Nawierzchnie twarde nieulepszone</t>
  </si>
  <si>
    <t>Wykonanie warstwy ścieralnej z mieszanki mineralno-asfaltowej AC 11S, grubość warstwy po zagęszczeniu 3 cm (559*6)</t>
  </si>
  <si>
    <t>Wykonanie frezowania nawierzchni asfaltowych na zimno, średnia grubość warstwy 3 cm (239*5)</t>
  </si>
  <si>
    <t>D.06.01.01</t>
  </si>
  <si>
    <t>Umocnienie powierzchniowe skarp, rowów i ścieków korytkami żelbetowymi</t>
  </si>
  <si>
    <t xml:space="preserve">Umocnienie dna rowów i skarp płytami betonowymi chodnikowymi 50x50x7 cm ułożonymi na podsypce cementowo-piaskowej, spoiny wypełnione zaprawą </t>
  </si>
  <si>
    <t>Humusowanie z obsianiem przy grubości warstwy ziemi urodzajnej (humusu) 10 cm - humus pochodzi z odhumusowania</t>
  </si>
  <si>
    <t>Wykonanie przepustów pod zjazdami z rur PEHD śr 40 cm ułożonych na ławie fundamentowej żwirowej grubości 15 cm</t>
  </si>
  <si>
    <t>Oznakowanie poziome jezdni farbą akrylową białą odblaskową - linie segregacyjne i krawędziowe ciągłe</t>
  </si>
  <si>
    <t>Oznakowanie poziome jezdni farbą akrylową białą odblaskową - linie segregacyjne i krawędziowe przerywane</t>
  </si>
  <si>
    <t>Oznakowanie poziome jezdni farbą akrylową białą odblaskową - linie na skrzyżowaniach i przejściach, malowane mechanicznie</t>
  </si>
  <si>
    <t>Ustawienie krawężników betonowych 20x30x100cm wraz z wykonaniem ławy betonowej z oporem C12/15</t>
  </si>
  <si>
    <t>Ustawienie obrzeży betonowych o wymiarach 30x8x100 cm na podsypce cementowo-piaskowej, spoiny wypełnione zaprawą cementową</t>
  </si>
  <si>
    <t>D.10.00.00</t>
  </si>
  <si>
    <t>INNE ROBOTY</t>
  </si>
  <si>
    <t>D.10.13.13</t>
  </si>
  <si>
    <t>Wiaty przystankowe</t>
  </si>
  <si>
    <t>Montaż nowych wiat przystankowych</t>
  </si>
  <si>
    <t>Wykonanie nasypów mechanicznie w gruncie kat I-II z transportem urobku na nasyp (581,9+395,65)</t>
  </si>
  <si>
    <t>Wykonanie podbudowy z kruszywa łamanego stabilizowanego mechanicznie, grubość warstwy po zagęszczeniu 25 cm (559*1,28)</t>
  </si>
  <si>
    <t>Wykonanie nawierzchni z kruszywa łamanego, grubość warstwy po zagęszczeniu 20cm</t>
  </si>
  <si>
    <t>Wykonanie warstwy ścieralnej z mieszanki mineralno-asfaltowej AC 11S, srednia grubość warstwy po zagęszczeniu 6 cm - nawierzchnia na zjeździe betonowym do regulacji wysokościowej</t>
  </si>
  <si>
    <t>Ścianki czołowe prefabrykowane dla przepustów z rur PEHD i żelbetowych</t>
  </si>
  <si>
    <t>D.06.04.01</t>
  </si>
  <si>
    <t>Rowy</t>
  </si>
  <si>
    <t>Profilowanie dna i skarp rowów odwadniajacych</t>
  </si>
  <si>
    <t>Wyrównanie istniejącej nawierzchni mieszanką mineralno-asfaltową AC 16P, średnio 75kg/m2 (559*5*0,075)</t>
  </si>
  <si>
    <t>Odtworzenie trasy i punktów wysokościowych przy liniowych robotach ziemnych (drogi) w terenie równinnym, obsługa geodezyjna, inwentaryzacja powykonawcza, zastabiliowanie punktów osnowy geodezyjnej w sposób trwały, ochrona ich przed zniszczeniem oraz oznakowanie w sposób ułatwiający odszukanie</t>
  </si>
  <si>
    <t>D.01.03.25</t>
  </si>
  <si>
    <t>Usunięcie zadrzewień i ochrona drzew</t>
  </si>
  <si>
    <t>szt.</t>
  </si>
  <si>
    <t>Ściananie drzew bez utrudnień średnica do 15 cm wraz z karczowaniem pni oraz wywiezieniem dłużyc, gałęzi i karpiny na odl. do 2 km</t>
  </si>
  <si>
    <t>Ściananie drzew bez utrudnień średnica 100cm wraz z karczowaniem pni oraz wywiezieniem dłużyc, gałęzi i karpiny na odl. do 2 km (drzewa do usunięcia oraz 2 karpy do usunięcia)</t>
  </si>
  <si>
    <t>ha</t>
  </si>
  <si>
    <t>Karczowanie krzaków i podszycia ilości sztuk krzaków 3000/ha, (zarośla do usunięcia)</t>
  </si>
  <si>
    <t>Ilość</t>
  </si>
  <si>
    <t>Przymocowanie do gotowych słupków znaków zakazu typ F średnie folia II generacji</t>
  </si>
  <si>
    <t xml:space="preserve">Wykonanie wykopów mechanicznie w gruncie kat I-II z transportem urobku na nasyp </t>
  </si>
  <si>
    <t>Oczyszczenie warstw konstrukcyjnych bitumicznych mechanicznie (559*6*2+559*5+53)</t>
  </si>
  <si>
    <t>Skropienie mechaniczne warstw konstrukcyjnych ulepszonych emulsją asfaltową (559*6*2+559*5+53)</t>
  </si>
  <si>
    <t>Wykonanie podbudowy z gruntu stabilizowanego cementem C3/4, grubość warstwy po zagęszczeniu 15 cm - jezdnia+poszerzenia (559*1,36)</t>
  </si>
  <si>
    <t>Ogółem wartość kosztorysowa robót</t>
  </si>
  <si>
    <t>m³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</si>
  <si>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</si>
  <si>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KOSZTORYS OFERTOWY</t>
  </si>
  <si>
    <t>Przebudowa drogi powiatowej nr 3536W Odechów - Kowalków - Sienno na terenie gminy Skaryszew,
odcinek długości 559,00 m, od km 1+735,00 do km 2+294,00</t>
  </si>
  <si>
    <t>Jednostka</t>
  </si>
  <si>
    <t>Mechaniczne oczyszczenie warstw konstrukcyjnych nieulepszonych emulsją asfaltową (559*1,16)</t>
  </si>
  <si>
    <t>Wykonanie warstwy wiążącej z mieszanki mineralno-asfaltowej AC 11 W, grubość warstwy 5 cm (559*6,08)</t>
  </si>
  <si>
    <t>Wartość
(zł)</t>
  </si>
  <si>
    <t>Wartość kosztorysowa robót bez podatku VAT</t>
  </si>
  <si>
    <t>Wartość podatku VAT (23%)</t>
  </si>
  <si>
    <t>………………………………………………….......</t>
  </si>
  <si>
    <t>(podpis i pieczęć upełnomocnionego
przedstawiciela Wykonawcy)</t>
  </si>
  <si>
    <t>Cena
jednostkowa netto 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</si>
</sst>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\+000"/>
    <numFmt numFmtId="166" formatCode="0.0"/>
  </numFmts>
  <fonts count="3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PL Courier New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MS Sans Serif"/>
      <family val="2"/>
      <charset val="238"/>
    </font>
    <font>
      <sz val="10"/>
      <name val="PL Times New Roman"/>
    </font>
    <font>
      <sz val="11"/>
      <color theme="1"/>
      <name val="Czcionka tekstu podstawowego"/>
      <family val="2"/>
      <charset val="238"/>
    </font>
    <font>
      <sz val="10"/>
      <name val="Arial CE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1" applyNumberFormat="0" applyFont="0" applyFill="0" applyBorder="0" applyProtection="0">
      <alignment vertical="top" wrapText="1"/>
    </xf>
    <xf numFmtId="0" fontId="19" fillId="0" borderId="0"/>
    <xf numFmtId="0" fontId="2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1" fillId="0" borderId="0"/>
    <xf numFmtId="0" fontId="22" fillId="0" borderId="0"/>
  </cellStyleXfs>
  <cellXfs count="135">
    <xf numFmtId="0" fontId="0" fillId="0" borderId="0" xfId="0"/>
    <xf numFmtId="1" fontId="6" fillId="0" borderId="0" xfId="14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4" fillId="0" borderId="12" xfId="0" applyFont="1" applyBorder="1" applyAlignment="1">
      <alignment horizontal="center" vertical="center"/>
    </xf>
    <xf numFmtId="0" fontId="15" fillId="0" borderId="0" xfId="0" applyFont="1"/>
    <xf numFmtId="0" fontId="14" fillId="0" borderId="1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8" fillId="0" borderId="9" xfId="13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8" fillId="0" borderId="18" xfId="13" applyFont="1" applyFill="1" applyBorder="1" applyAlignment="1">
      <alignment horizontal="center" vertical="center" wrapText="1"/>
    </xf>
    <xf numFmtId="0" fontId="17" fillId="0" borderId="10" xfId="0" applyFont="1" applyBorder="1"/>
    <xf numFmtId="0" fontId="17" fillId="0" borderId="1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165" fontId="3" fillId="0" borderId="7" xfId="13" applyNumberFormat="1" applyFont="1" applyBorder="1" applyAlignment="1">
      <alignment horizontal="center" vertical="center"/>
    </xf>
    <xf numFmtId="165" fontId="3" fillId="0" borderId="9" xfId="13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" fontId="14" fillId="0" borderId="12" xfId="0" applyNumberFormat="1" applyFont="1" applyBorder="1" applyAlignment="1">
      <alignment horizontal="center" vertical="center"/>
    </xf>
    <xf numFmtId="1" fontId="14" fillId="0" borderId="14" xfId="0" applyNumberFormat="1" applyFont="1" applyBorder="1" applyAlignment="1">
      <alignment horizontal="center" vertical="center"/>
    </xf>
    <xf numFmtId="166" fontId="14" fillId="0" borderId="12" xfId="0" applyNumberFormat="1" applyFont="1" applyBorder="1" applyAlignment="1">
      <alignment horizontal="center" vertical="center"/>
    </xf>
    <xf numFmtId="166" fontId="14" fillId="0" borderId="14" xfId="0" applyNumberFormat="1" applyFont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 vertical="center"/>
    </xf>
    <xf numFmtId="1" fontId="14" fillId="0" borderId="15" xfId="0" applyNumberFormat="1" applyFont="1" applyBorder="1" applyAlignment="1">
      <alignment horizontal="center" vertical="center"/>
    </xf>
    <xf numFmtId="165" fontId="3" fillId="0" borderId="22" xfId="13" applyNumberFormat="1" applyFont="1" applyBorder="1" applyAlignment="1">
      <alignment horizontal="center" vertical="center"/>
    </xf>
    <xf numFmtId="166" fontId="14" fillId="0" borderId="15" xfId="0" applyNumberFormat="1" applyFont="1" applyBorder="1" applyAlignment="1">
      <alignment horizontal="center" vertical="center"/>
    </xf>
    <xf numFmtId="1" fontId="14" fillId="0" borderId="17" xfId="0" applyNumberFormat="1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5" borderId="7" xfId="0" applyFont="1" applyFill="1" applyBorder="1" applyAlignment="1">
      <alignment horizontal="center" vertical="center"/>
    </xf>
    <xf numFmtId="0" fontId="26" fillId="4" borderId="12" xfId="0" applyFont="1" applyFill="1" applyBorder="1" applyAlignment="1">
      <alignment horizontal="center" vertical="center"/>
    </xf>
    <xf numFmtId="49" fontId="26" fillId="4" borderId="12" xfId="0" applyNumberFormat="1" applyFont="1" applyFill="1" applyBorder="1" applyAlignment="1">
      <alignment horizontal="left" vertical="center" wrapText="1"/>
    </xf>
    <xf numFmtId="49" fontId="26" fillId="4" borderId="12" xfId="0" applyNumberFormat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/>
    </xf>
    <xf numFmtId="0" fontId="27" fillId="0" borderId="12" xfId="16" applyNumberFormat="1" applyFont="1" applyFill="1" applyBorder="1" applyAlignment="1" applyProtection="1">
      <alignment horizontal="center" vertical="center"/>
    </xf>
    <xf numFmtId="49" fontId="27" fillId="0" borderId="12" xfId="0" applyNumberFormat="1" applyFont="1" applyFill="1" applyBorder="1" applyAlignment="1">
      <alignment horizontal="left" vertical="center" wrapText="1"/>
    </xf>
    <xf numFmtId="49" fontId="27" fillId="0" borderId="12" xfId="0" applyNumberFormat="1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/>
    </xf>
    <xf numFmtId="0" fontId="26" fillId="4" borderId="12" xfId="16" applyNumberFormat="1" applyFont="1" applyFill="1" applyBorder="1" applyAlignment="1" applyProtection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49" fontId="27" fillId="3" borderId="12" xfId="0" applyNumberFormat="1" applyFont="1" applyFill="1" applyBorder="1" applyAlignment="1">
      <alignment horizontal="center" vertical="center" wrapText="1"/>
    </xf>
    <xf numFmtId="49" fontId="27" fillId="4" borderId="12" xfId="0" applyNumberFormat="1" applyFont="1" applyFill="1" applyBorder="1" applyAlignment="1">
      <alignment horizontal="center" vertical="center" wrapText="1"/>
    </xf>
    <xf numFmtId="0" fontId="26" fillId="3" borderId="12" xfId="17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6" fillId="2" borderId="12" xfId="16" applyNumberFormat="1" applyFont="1" applyFill="1" applyBorder="1" applyAlignment="1" applyProtection="1">
      <alignment horizontal="center" vertical="center"/>
    </xf>
    <xf numFmtId="49" fontId="26" fillId="2" borderId="12" xfId="16" applyNumberFormat="1" applyFont="1" applyFill="1" applyBorder="1" applyAlignment="1" applyProtection="1">
      <alignment horizontal="left" vertical="center" wrapText="1"/>
    </xf>
    <xf numFmtId="49" fontId="27" fillId="2" borderId="12" xfId="0" applyNumberFormat="1" applyFont="1" applyFill="1" applyBorder="1" applyAlignment="1">
      <alignment horizontal="center" vertical="center" wrapText="1"/>
    </xf>
    <xf numFmtId="4" fontId="27" fillId="2" borderId="8" xfId="0" applyNumberFormat="1" applyFont="1" applyFill="1" applyBorder="1" applyAlignment="1">
      <alignment horizontal="center" vertical="center"/>
    </xf>
    <xf numFmtId="49" fontId="26" fillId="4" borderId="12" xfId="16" applyNumberFormat="1" applyFont="1" applyFill="1" applyBorder="1" applyAlignment="1" applyProtection="1">
      <alignment horizontal="left" vertical="center" wrapText="1"/>
    </xf>
    <xf numFmtId="49" fontId="26" fillId="4" borderId="12" xfId="16" applyNumberFormat="1" applyFont="1" applyFill="1" applyBorder="1" applyAlignment="1" applyProtection="1">
      <alignment horizontal="center" vertical="center" wrapText="1"/>
    </xf>
    <xf numFmtId="49" fontId="27" fillId="0" borderId="12" xfId="0" quotePrefix="1" applyNumberFormat="1" applyFont="1" applyFill="1" applyBorder="1" applyAlignment="1">
      <alignment horizontal="left" vertical="center" wrapText="1"/>
    </xf>
    <xf numFmtId="2" fontId="27" fillId="0" borderId="12" xfId="0" applyNumberFormat="1" applyFont="1" applyFill="1" applyBorder="1" applyAlignment="1">
      <alignment horizontal="left" vertical="center" wrapText="1"/>
    </xf>
    <xf numFmtId="49" fontId="27" fillId="0" borderId="12" xfId="16" applyNumberFormat="1" applyFont="1" applyFill="1" applyBorder="1" applyAlignment="1" applyProtection="1">
      <alignment horizontal="left" vertical="center" wrapText="1"/>
    </xf>
    <xf numFmtId="49" fontId="26" fillId="2" borderId="12" xfId="16" applyNumberFormat="1" applyFont="1" applyFill="1" applyBorder="1" applyAlignment="1" applyProtection="1">
      <alignment horizontal="center" vertical="center" wrapText="1"/>
    </xf>
    <xf numFmtId="0" fontId="27" fillId="2" borderId="12" xfId="0" applyFont="1" applyFill="1" applyBorder="1" applyAlignment="1">
      <alignment horizontal="center" vertical="center"/>
    </xf>
    <xf numFmtId="0" fontId="27" fillId="4" borderId="12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4" xfId="16" applyNumberFormat="1" applyFont="1" applyFill="1" applyBorder="1" applyAlignment="1" applyProtection="1">
      <alignment horizontal="center" vertical="center"/>
    </xf>
    <xf numFmtId="49" fontId="27" fillId="0" borderId="1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0" fontId="23" fillId="0" borderId="0" xfId="0" applyFont="1" applyBorder="1" applyAlignment="1">
      <alignment horizontal="right" vertical="center"/>
    </xf>
    <xf numFmtId="1" fontId="27" fillId="4" borderId="8" xfId="0" applyNumberFormat="1" applyFont="1" applyFill="1" applyBorder="1" applyAlignment="1">
      <alignment horizontal="center" vertical="center" wrapText="1"/>
    </xf>
    <xf numFmtId="4" fontId="27" fillId="0" borderId="8" xfId="0" applyNumberFormat="1" applyFont="1" applyFill="1" applyBorder="1" applyAlignment="1">
      <alignment horizontal="center" vertical="center" wrapText="1"/>
    </xf>
    <xf numFmtId="4" fontId="27" fillId="4" borderId="8" xfId="0" applyNumberFormat="1" applyFont="1" applyFill="1" applyBorder="1" applyAlignment="1">
      <alignment horizontal="center" vertical="center" wrapText="1"/>
    </xf>
    <xf numFmtId="4" fontId="27" fillId="3" borderId="8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vertical="center"/>
    </xf>
    <xf numFmtId="0" fontId="1" fillId="0" borderId="12" xfId="0" applyFont="1" applyBorder="1" applyAlignment="1">
      <alignment horizontal="left" vertical="center" wrapText="1"/>
    </xf>
    <xf numFmtId="4" fontId="23" fillId="0" borderId="0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vertical="center"/>
    </xf>
    <xf numFmtId="4" fontId="29" fillId="0" borderId="13" xfId="0" applyNumberFormat="1" applyFont="1" applyBorder="1" applyAlignment="1">
      <alignment vertical="center"/>
    </xf>
    <xf numFmtId="49" fontId="26" fillId="4" borderId="12" xfId="16" applyNumberFormat="1" applyFont="1" applyFill="1" applyBorder="1" applyAlignment="1" applyProtection="1">
      <alignment horizontal="left" vertical="center"/>
    </xf>
    <xf numFmtId="0" fontId="30" fillId="0" borderId="0" xfId="23" applyFont="1" applyAlignment="1">
      <alignment horizontal="center" vertical="center"/>
    </xf>
    <xf numFmtId="0" fontId="25" fillId="0" borderId="0" xfId="23" applyFont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Fill="1" applyBorder="1"/>
    <xf numFmtId="0" fontId="26" fillId="4" borderId="12" xfId="0" applyNumberFormat="1" applyFont="1" applyFill="1" applyBorder="1" applyAlignment="1">
      <alignment horizontal="center" vertical="center" wrapText="1"/>
    </xf>
    <xf numFmtId="4" fontId="26" fillId="4" borderId="12" xfId="0" applyNumberFormat="1" applyFont="1" applyFill="1" applyBorder="1" applyAlignment="1">
      <alignment horizontal="center" vertical="center" wrapText="1"/>
    </xf>
    <xf numFmtId="0" fontId="27" fillId="0" borderId="12" xfId="0" applyNumberFormat="1" applyFont="1" applyFill="1" applyBorder="1" applyAlignment="1">
      <alignment horizontal="center" vertical="center" wrapText="1"/>
    </xf>
    <xf numFmtId="4" fontId="27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27" fillId="4" borderId="12" xfId="0" applyNumberFormat="1" applyFont="1" applyFill="1" applyBorder="1" applyAlignment="1">
      <alignment horizontal="center" vertical="center" wrapText="1"/>
    </xf>
    <xf numFmtId="49" fontId="26" fillId="3" borderId="12" xfId="17" applyNumberFormat="1" applyFont="1" applyFill="1" applyBorder="1" applyAlignment="1">
      <alignment horizontal="left" vertical="center" wrapText="1"/>
    </xf>
    <xf numFmtId="0" fontId="27" fillId="3" borderId="12" xfId="0" applyNumberFormat="1" applyFont="1" applyFill="1" applyBorder="1" applyAlignment="1">
      <alignment horizontal="center" vertical="center" wrapText="1"/>
    </xf>
    <xf numFmtId="4" fontId="27" fillId="3" borderId="12" xfId="0" applyNumberFormat="1" applyFont="1" applyFill="1" applyBorder="1" applyAlignment="1">
      <alignment horizontal="center" vertical="center" wrapText="1"/>
    </xf>
    <xf numFmtId="0" fontId="27" fillId="4" borderId="12" xfId="0" applyNumberFormat="1" applyFont="1" applyFill="1" applyBorder="1" applyAlignment="1">
      <alignment horizontal="center" vertical="center" wrapText="1"/>
    </xf>
    <xf numFmtId="0" fontId="27" fillId="2" borderId="12" xfId="0" applyNumberFormat="1" applyFont="1" applyFill="1" applyBorder="1" applyAlignment="1">
      <alignment horizontal="center" vertical="center" wrapText="1"/>
    </xf>
    <xf numFmtId="4" fontId="27" fillId="2" borderId="12" xfId="0" applyNumberFormat="1" applyFont="1" applyFill="1" applyBorder="1" applyAlignment="1">
      <alignment horizontal="center" vertical="center" wrapText="1"/>
    </xf>
    <xf numFmtId="4" fontId="27" fillId="2" borderId="12" xfId="0" applyNumberFormat="1" applyFont="1" applyFill="1" applyBorder="1" applyAlignment="1">
      <alignment horizontal="center" vertical="center"/>
    </xf>
    <xf numFmtId="0" fontId="26" fillId="4" borderId="12" xfId="16" applyNumberFormat="1" applyFont="1" applyFill="1" applyBorder="1" applyAlignment="1" applyProtection="1">
      <alignment horizontal="center" vertical="center" wrapText="1"/>
    </xf>
    <xf numFmtId="4" fontId="26" fillId="4" borderId="12" xfId="16" applyNumberFormat="1" applyFont="1" applyFill="1" applyBorder="1" applyAlignment="1" applyProtection="1">
      <alignment horizontal="center" vertical="center" wrapText="1"/>
    </xf>
    <xf numFmtId="0" fontId="27" fillId="2" borderId="12" xfId="0" applyNumberFormat="1" applyFont="1" applyFill="1" applyBorder="1" applyAlignment="1">
      <alignment horizontal="center" vertical="center"/>
    </xf>
    <xf numFmtId="0" fontId="27" fillId="4" borderId="12" xfId="0" applyNumberFormat="1" applyFont="1" applyFill="1" applyBorder="1" applyAlignment="1">
      <alignment horizontal="center" vertical="center"/>
    </xf>
    <xf numFmtId="4" fontId="27" fillId="4" borderId="12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29" fillId="0" borderId="12" xfId="0" applyFont="1" applyBorder="1" applyAlignment="1">
      <alignment horizontal="right" vertical="center"/>
    </xf>
    <xf numFmtId="0" fontId="29" fillId="0" borderId="23" xfId="0" applyFont="1" applyBorder="1" applyAlignment="1">
      <alignment horizontal="right" vertical="center"/>
    </xf>
    <xf numFmtId="4" fontId="1" fillId="0" borderId="24" xfId="0" applyNumberFormat="1" applyFont="1" applyBorder="1" applyAlignment="1">
      <alignment vertical="center"/>
    </xf>
    <xf numFmtId="0" fontId="1" fillId="0" borderId="15" xfId="0" applyFont="1" applyBorder="1" applyAlignment="1">
      <alignment horizontal="right" vertical="center"/>
    </xf>
    <xf numFmtId="4" fontId="1" fillId="0" borderId="15" xfId="0" applyNumberFormat="1" applyFont="1" applyBorder="1" applyAlignment="1">
      <alignment vertical="center"/>
    </xf>
    <xf numFmtId="49" fontId="27" fillId="0" borderId="14" xfId="0" applyNumberFormat="1" applyFont="1" applyFill="1" applyBorder="1" applyAlignment="1">
      <alignment horizontal="left" vertical="center" wrapText="1"/>
    </xf>
    <xf numFmtId="0" fontId="27" fillId="0" borderId="14" xfId="0" applyNumberFormat="1" applyFont="1" applyFill="1" applyBorder="1" applyAlignment="1">
      <alignment horizontal="center" vertical="center" wrapText="1"/>
    </xf>
    <xf numFmtId="4" fontId="27" fillId="0" borderId="25" xfId="0" applyNumberFormat="1" applyFont="1" applyFill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center" vertical="center"/>
    </xf>
    <xf numFmtId="0" fontId="26" fillId="2" borderId="15" xfId="16" applyNumberFormat="1" applyFont="1" applyFill="1" applyBorder="1" applyAlignment="1" applyProtection="1">
      <alignment horizontal="center" vertical="center"/>
    </xf>
    <xf numFmtId="49" fontId="26" fillId="2" borderId="15" xfId="16" applyNumberFormat="1" applyFont="1" applyFill="1" applyBorder="1" applyAlignment="1" applyProtection="1">
      <alignment horizontal="left" vertical="center" wrapText="1"/>
    </xf>
    <xf numFmtId="49" fontId="26" fillId="2" borderId="15" xfId="16" applyNumberFormat="1" applyFont="1" applyFill="1" applyBorder="1" applyAlignment="1" applyProtection="1">
      <alignment horizontal="center" vertical="center" wrapText="1"/>
    </xf>
    <xf numFmtId="0" fontId="26" fillId="2" borderId="15" xfId="16" applyNumberFormat="1" applyFont="1" applyFill="1" applyBorder="1" applyAlignment="1" applyProtection="1">
      <alignment horizontal="center" vertical="center" wrapText="1"/>
    </xf>
    <xf numFmtId="4" fontId="26" fillId="2" borderId="15" xfId="16" applyNumberFormat="1" applyFont="1" applyFill="1" applyBorder="1" applyAlignment="1" applyProtection="1">
      <alignment horizontal="center" vertical="center" wrapText="1"/>
    </xf>
    <xf numFmtId="1" fontId="27" fillId="2" borderId="17" xfId="0" applyNumberFormat="1" applyFont="1" applyFill="1" applyBorder="1" applyAlignment="1">
      <alignment horizontal="center" vertical="center"/>
    </xf>
    <xf numFmtId="0" fontId="25" fillId="6" borderId="18" xfId="0" applyFont="1" applyFill="1" applyBorder="1" applyAlignment="1">
      <alignment horizontal="center" vertical="center"/>
    </xf>
    <xf numFmtId="0" fontId="25" fillId="6" borderId="10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/>
    </xf>
    <xf numFmtId="1" fontId="25" fillId="6" borderId="10" xfId="0" applyNumberFormat="1" applyFont="1" applyFill="1" applyBorder="1" applyAlignment="1">
      <alignment horizontal="center" vertical="center" wrapText="1"/>
    </xf>
    <xf numFmtId="0" fontId="25" fillId="6" borderId="10" xfId="0" applyNumberFormat="1" applyFont="1" applyFill="1" applyBorder="1" applyAlignment="1">
      <alignment horizontal="center" vertical="center" wrapText="1"/>
    </xf>
    <xf numFmtId="4" fontId="25" fillId="6" borderId="10" xfId="0" applyNumberFormat="1" applyFont="1" applyFill="1" applyBorder="1" applyAlignment="1">
      <alignment horizontal="center" vertical="center" wrapText="1"/>
    </xf>
    <xf numFmtId="1" fontId="25" fillId="6" borderId="19" xfId="0" applyNumberFormat="1" applyFont="1" applyFill="1" applyBorder="1" applyAlignment="1">
      <alignment horizontal="center" vertical="center" wrapText="1"/>
    </xf>
    <xf numFmtId="4" fontId="27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24">
    <cellStyle name="Dziesiętny 2" xfId="1" xr:uid="{00000000-0005-0000-0000-000000000000}"/>
    <cellStyle name="Dziesiętny 2 2" xfId="19" xr:uid="{00000000-0005-0000-0000-000001000000}"/>
    <cellStyle name="Dziesiętny 3" xfId="2" xr:uid="{00000000-0005-0000-0000-000002000000}"/>
    <cellStyle name="Dziesiętny 3 2" xfId="3" xr:uid="{00000000-0005-0000-0000-000003000000}"/>
    <cellStyle name="Dziesiętny 3 2 2" xfId="21" xr:uid="{00000000-0005-0000-0000-000004000000}"/>
    <cellStyle name="Dziesiętny 3 3" xfId="20" xr:uid="{00000000-0005-0000-0000-000005000000}"/>
    <cellStyle name="Dziesiętny 4" xfId="18" xr:uid="{00000000-0005-0000-0000-000006000000}"/>
    <cellStyle name="None" xfId="4" xr:uid="{00000000-0005-0000-0000-000007000000}"/>
    <cellStyle name="Normalny" xfId="0" builtinId="0"/>
    <cellStyle name="Normalny 2" xfId="5" xr:uid="{00000000-0005-0000-0000-000009000000}"/>
    <cellStyle name="Normalny 2 2" xfId="6" xr:uid="{00000000-0005-0000-0000-00000A000000}"/>
    <cellStyle name="Normalny 2 2 2" xfId="7" xr:uid="{00000000-0005-0000-0000-00000B000000}"/>
    <cellStyle name="Normalny 2 3" xfId="22" xr:uid="{00000000-0005-0000-0000-00000C000000}"/>
    <cellStyle name="Normalny 2_Wykaz_A2_D1" xfId="8" xr:uid="{00000000-0005-0000-0000-00000D000000}"/>
    <cellStyle name="Normalny 4" xfId="9" xr:uid="{00000000-0005-0000-0000-00000E000000}"/>
    <cellStyle name="Normalny 4 2" xfId="10" xr:uid="{00000000-0005-0000-0000-00000F000000}"/>
    <cellStyle name="Normalny 4 2 2" xfId="11" xr:uid="{00000000-0005-0000-0000-000010000000}"/>
    <cellStyle name="Normalny 4 3" xfId="12" xr:uid="{00000000-0005-0000-0000-000011000000}"/>
    <cellStyle name="Normalny_Droga nr 2 w km 618-625 - przedmiar i kosztorysu" xfId="23" xr:uid="{3C350EF1-7813-4F5A-89CC-C1E76827855F}"/>
    <cellStyle name="Normalny_slepy-kosztorys" xfId="17" xr:uid="{00000000-0005-0000-0000-000012000000}"/>
    <cellStyle name="Normalny_TER02" xfId="16" xr:uid="{00000000-0005-0000-0000-000013000000}"/>
    <cellStyle name="Normalny_wykazy 5.4_x" xfId="13" xr:uid="{00000000-0005-0000-0000-000014000000}"/>
    <cellStyle name="Normalny_wykazy_5.5.1" xfId="14" xr:uid="{00000000-0005-0000-0000-000015000000}"/>
    <cellStyle name="Opis" xfId="15" xr:uid="{00000000-0005-0000-0000-000016000000}"/>
  </cellStyles>
  <dxfs count="0"/>
  <tableStyles count="0" defaultTableStyle="TableStyleMedium9" defaultPivotStyle="PivotStyleLight16"/>
  <colors>
    <mruColors>
      <color rgb="FF30F047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%20Google\0099%20OBIEKTY%20ODECH&#211;W\02%20PROJEKT\04%20PRZEDMIAR\0099%2001%2000%20MD-01%20PRZEDMI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je"/>
      <sheetName val="Przedmiar"/>
      <sheetName val="Kosztorys"/>
      <sheetName val="SlepyKosztorys"/>
      <sheetName val="PrzedmiarEng"/>
      <sheetName val="KosztorysEng"/>
      <sheetName val="SlepyKosztorysEng"/>
    </sheetNames>
    <sheetDataSet>
      <sheetData sheetId="0" refreshError="1">
        <row r="2">
          <cell r="B2" t="str">
            <v>PLN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94"/>
  <sheetViews>
    <sheetView tabSelected="1" view="pageBreakPreview" zoomScaleNormal="100" zoomScaleSheetLayoutView="100" workbookViewId="0">
      <selection activeCell="A87" sqref="A87:F87"/>
    </sheetView>
  </sheetViews>
  <sheetFormatPr defaultRowHeight="15"/>
  <cols>
    <col min="1" max="1" width="3.625" style="44" customWidth="1"/>
    <col min="2" max="2" width="10.625" style="44" customWidth="1"/>
    <col min="3" max="3" width="50.625" style="44" customWidth="1"/>
    <col min="4" max="4" width="7.625" style="44" customWidth="1"/>
    <col min="5" max="5" width="6.625" style="77" customWidth="1"/>
    <col min="6" max="6" width="9.625" style="86" customWidth="1"/>
    <col min="7" max="7" width="11.625" style="44" customWidth="1"/>
    <col min="8" max="16384" width="9" style="42"/>
  </cols>
  <sheetData>
    <row r="1" spans="1:9" s="92" customFormat="1" ht="15.75">
      <c r="A1" s="91" t="s">
        <v>185</v>
      </c>
      <c r="B1" s="91"/>
      <c r="C1" s="91"/>
      <c r="D1" s="91"/>
      <c r="E1" s="91"/>
      <c r="F1" s="91"/>
      <c r="G1" s="91"/>
    </row>
    <row r="2" spans="1:9" s="93" customFormat="1" ht="44.25" customHeight="1" thickBot="1">
      <c r="A2" s="91" t="s">
        <v>186</v>
      </c>
      <c r="B2" s="91"/>
      <c r="C2" s="91"/>
      <c r="D2" s="91"/>
      <c r="E2" s="91"/>
      <c r="F2" s="91"/>
      <c r="G2" s="91"/>
      <c r="H2" s="45"/>
      <c r="I2" s="45"/>
    </row>
    <row r="3" spans="1:9" ht="39" thickBot="1">
      <c r="A3" s="127" t="s">
        <v>61</v>
      </c>
      <c r="B3" s="128" t="s">
        <v>62</v>
      </c>
      <c r="C3" s="129" t="s">
        <v>63</v>
      </c>
      <c r="D3" s="130" t="s">
        <v>187</v>
      </c>
      <c r="E3" s="131" t="s">
        <v>176</v>
      </c>
      <c r="F3" s="132" t="s">
        <v>195</v>
      </c>
      <c r="G3" s="133" t="s">
        <v>190</v>
      </c>
      <c r="H3" s="92"/>
    </row>
    <row r="4" spans="1:9">
      <c r="A4" s="120"/>
      <c r="B4" s="121" t="s">
        <v>64</v>
      </c>
      <c r="C4" s="122" t="s">
        <v>65</v>
      </c>
      <c r="D4" s="123"/>
      <c r="E4" s="124"/>
      <c r="F4" s="125"/>
      <c r="G4" s="126"/>
    </row>
    <row r="5" spans="1:9">
      <c r="A5" s="46"/>
      <c r="B5" s="47" t="s">
        <v>66</v>
      </c>
      <c r="C5" s="48" t="s">
        <v>86</v>
      </c>
      <c r="D5" s="49"/>
      <c r="E5" s="94"/>
      <c r="F5" s="95"/>
      <c r="G5" s="79"/>
    </row>
    <row r="6" spans="1:9" ht="90">
      <c r="A6" s="50">
        <v>1</v>
      </c>
      <c r="B6" s="51"/>
      <c r="C6" s="52" t="s">
        <v>168</v>
      </c>
      <c r="D6" s="53" t="s">
        <v>49</v>
      </c>
      <c r="E6" s="96">
        <v>0.55900000000000005</v>
      </c>
      <c r="F6" s="97"/>
      <c r="G6" s="80">
        <f>ROUND(E6*ROUND(F6,2),2)</f>
        <v>0</v>
      </c>
      <c r="I6" s="43"/>
    </row>
    <row r="7" spans="1:9">
      <c r="A7" s="54"/>
      <c r="B7" s="55" t="s">
        <v>122</v>
      </c>
      <c r="C7" s="48" t="s">
        <v>123</v>
      </c>
      <c r="D7" s="49"/>
      <c r="E7" s="94"/>
      <c r="F7" s="95"/>
      <c r="G7" s="81"/>
      <c r="I7" s="43"/>
    </row>
    <row r="8" spans="1:9" ht="30">
      <c r="A8" s="50">
        <v>2</v>
      </c>
      <c r="B8" s="53"/>
      <c r="C8" s="52" t="s">
        <v>127</v>
      </c>
      <c r="D8" s="53" t="s">
        <v>51</v>
      </c>
      <c r="E8" s="96">
        <v>49</v>
      </c>
      <c r="F8" s="97"/>
      <c r="G8" s="80">
        <f t="shared" ref="G8:G12" si="0">ROUND(E8*ROUND(F8,2),2)</f>
        <v>0</v>
      </c>
      <c r="I8" s="43"/>
    </row>
    <row r="9" spans="1:9" ht="30">
      <c r="A9" s="50">
        <f>A8+1</f>
        <v>3</v>
      </c>
      <c r="B9" s="53"/>
      <c r="C9" s="52" t="s">
        <v>129</v>
      </c>
      <c r="D9" s="53" t="s">
        <v>183</v>
      </c>
      <c r="E9" s="96">
        <v>14</v>
      </c>
      <c r="F9" s="97"/>
      <c r="G9" s="80">
        <f t="shared" si="0"/>
        <v>0</v>
      </c>
      <c r="I9" s="43"/>
    </row>
    <row r="10" spans="1:9">
      <c r="A10" s="50">
        <f t="shared" ref="A10:A12" si="1">A9+1</f>
        <v>4</v>
      </c>
      <c r="B10" s="53"/>
      <c r="C10" s="52" t="s">
        <v>128</v>
      </c>
      <c r="D10" s="53" t="s">
        <v>77</v>
      </c>
      <c r="E10" s="96">
        <v>1</v>
      </c>
      <c r="F10" s="97"/>
      <c r="G10" s="80">
        <f t="shared" si="0"/>
        <v>0</v>
      </c>
      <c r="I10" s="43"/>
    </row>
    <row r="11" spans="1:9">
      <c r="A11" s="50">
        <f t="shared" si="1"/>
        <v>5</v>
      </c>
      <c r="B11" s="53"/>
      <c r="C11" s="52" t="s">
        <v>125</v>
      </c>
      <c r="D11" s="53" t="s">
        <v>77</v>
      </c>
      <c r="E11" s="96">
        <v>5</v>
      </c>
      <c r="F11" s="97"/>
      <c r="G11" s="80">
        <f t="shared" si="0"/>
        <v>0</v>
      </c>
      <c r="I11" s="43"/>
    </row>
    <row r="12" spans="1:9">
      <c r="A12" s="50">
        <f t="shared" si="1"/>
        <v>6</v>
      </c>
      <c r="B12" s="53"/>
      <c r="C12" s="52" t="s">
        <v>124</v>
      </c>
      <c r="D12" s="53" t="s">
        <v>77</v>
      </c>
      <c r="E12" s="96">
        <v>8</v>
      </c>
      <c r="F12" s="97"/>
      <c r="G12" s="80">
        <f t="shared" si="0"/>
        <v>0</v>
      </c>
      <c r="I12" s="43"/>
    </row>
    <row r="13" spans="1:9">
      <c r="A13" s="54"/>
      <c r="B13" s="55" t="s">
        <v>169</v>
      </c>
      <c r="C13" s="48" t="s">
        <v>170</v>
      </c>
      <c r="D13" s="49"/>
      <c r="E13" s="94"/>
      <c r="F13" s="95"/>
      <c r="G13" s="81"/>
      <c r="I13" s="43"/>
    </row>
    <row r="14" spans="1:9" ht="45">
      <c r="A14" s="50">
        <f>A12+1</f>
        <v>7</v>
      </c>
      <c r="B14" s="53"/>
      <c r="C14" s="84" t="s">
        <v>172</v>
      </c>
      <c r="D14" s="53" t="s">
        <v>171</v>
      </c>
      <c r="E14" s="96">
        <v>9</v>
      </c>
      <c r="F14" s="97"/>
      <c r="G14" s="80">
        <f t="shared" ref="G14:G16" si="2">ROUND(E14*ROUND(F14,2),2)</f>
        <v>0</v>
      </c>
      <c r="I14" s="43"/>
    </row>
    <row r="15" spans="1:9" ht="45">
      <c r="A15" s="50">
        <f>A14+1</f>
        <v>8</v>
      </c>
      <c r="B15" s="53"/>
      <c r="C15" s="84" t="s">
        <v>173</v>
      </c>
      <c r="D15" s="53" t="s">
        <v>171</v>
      </c>
      <c r="E15" s="96">
        <v>2</v>
      </c>
      <c r="F15" s="97"/>
      <c r="G15" s="80">
        <f t="shared" si="2"/>
        <v>0</v>
      </c>
      <c r="I15" s="43"/>
    </row>
    <row r="16" spans="1:9" ht="30">
      <c r="A16" s="50">
        <f t="shared" ref="A16" si="3">A15+1</f>
        <v>9</v>
      </c>
      <c r="B16" s="53"/>
      <c r="C16" s="84" t="s">
        <v>175</v>
      </c>
      <c r="D16" s="53" t="s">
        <v>174</v>
      </c>
      <c r="E16" s="96">
        <v>0.12</v>
      </c>
      <c r="F16" s="97"/>
      <c r="G16" s="80">
        <f t="shared" si="2"/>
        <v>0</v>
      </c>
      <c r="I16" s="43"/>
    </row>
    <row r="17" spans="1:9">
      <c r="A17" s="56"/>
      <c r="B17" s="59" t="s">
        <v>92</v>
      </c>
      <c r="C17" s="99" t="s">
        <v>93</v>
      </c>
      <c r="D17" s="57"/>
      <c r="E17" s="100"/>
      <c r="F17" s="101"/>
      <c r="G17" s="82"/>
      <c r="I17" s="43"/>
    </row>
    <row r="18" spans="1:9">
      <c r="A18" s="54"/>
      <c r="B18" s="55" t="s">
        <v>94</v>
      </c>
      <c r="C18" s="48" t="s">
        <v>95</v>
      </c>
      <c r="D18" s="58"/>
      <c r="E18" s="102"/>
      <c r="F18" s="98"/>
      <c r="G18" s="81"/>
      <c r="I18" s="43"/>
    </row>
    <row r="19" spans="1:9" ht="30">
      <c r="A19" s="50">
        <f>A16+1</f>
        <v>10</v>
      </c>
      <c r="B19" s="51"/>
      <c r="C19" s="52" t="s">
        <v>178</v>
      </c>
      <c r="D19" s="53" t="s">
        <v>183</v>
      </c>
      <c r="E19" s="96">
        <v>816.4</v>
      </c>
      <c r="F19" s="97"/>
      <c r="G19" s="80">
        <f>ROUND(E19*ROUND(F19,2),2)</f>
        <v>0</v>
      </c>
      <c r="I19" s="43"/>
    </row>
    <row r="20" spans="1:9">
      <c r="A20" s="54"/>
      <c r="B20" s="55" t="s">
        <v>96</v>
      </c>
      <c r="C20" s="48" t="s">
        <v>97</v>
      </c>
      <c r="D20" s="58"/>
      <c r="E20" s="102"/>
      <c r="F20" s="98"/>
      <c r="G20" s="81"/>
      <c r="I20" s="43"/>
    </row>
    <row r="21" spans="1:9" ht="30">
      <c r="A21" s="50">
        <f>A19+1</f>
        <v>11</v>
      </c>
      <c r="B21" s="51"/>
      <c r="C21" s="52" t="s">
        <v>159</v>
      </c>
      <c r="D21" s="53" t="s">
        <v>183</v>
      </c>
      <c r="E21" s="96">
        <v>351.9</v>
      </c>
      <c r="F21" s="97"/>
      <c r="G21" s="80">
        <f>ROUND(E21*ROUND(F21,2),2)</f>
        <v>0</v>
      </c>
      <c r="I21" s="43"/>
    </row>
    <row r="22" spans="1:9">
      <c r="A22" s="56"/>
      <c r="B22" s="59" t="s">
        <v>78</v>
      </c>
      <c r="C22" s="99" t="s">
        <v>67</v>
      </c>
      <c r="D22" s="57"/>
      <c r="E22" s="100"/>
      <c r="F22" s="101"/>
      <c r="G22" s="82"/>
      <c r="I22" s="43"/>
    </row>
    <row r="23" spans="1:9">
      <c r="A23" s="54"/>
      <c r="B23" s="55" t="s">
        <v>70</v>
      </c>
      <c r="C23" s="48" t="s">
        <v>71</v>
      </c>
      <c r="D23" s="58"/>
      <c r="E23" s="102"/>
      <c r="F23" s="98"/>
      <c r="G23" s="81"/>
      <c r="I23" s="43"/>
    </row>
    <row r="24" spans="1:9" ht="30">
      <c r="A24" s="50">
        <f>A21+1</f>
        <v>12</v>
      </c>
      <c r="B24" s="51"/>
      <c r="C24" s="52" t="s">
        <v>130</v>
      </c>
      <c r="D24" s="53" t="s">
        <v>184</v>
      </c>
      <c r="E24" s="96">
        <v>220.3</v>
      </c>
      <c r="F24" s="97"/>
      <c r="G24" s="80">
        <f t="shared" ref="G24:G27" si="4">ROUND(E24*ROUND(F24,2),2)</f>
        <v>0</v>
      </c>
      <c r="I24" s="43"/>
    </row>
    <row r="25" spans="1:9" ht="30">
      <c r="A25" s="50">
        <f t="shared" ref="A25:A27" si="5">A24+1</f>
        <v>13</v>
      </c>
      <c r="B25" s="51"/>
      <c r="C25" s="52" t="s">
        <v>131</v>
      </c>
      <c r="D25" s="53" t="s">
        <v>184</v>
      </c>
      <c r="E25" s="96">
        <v>46</v>
      </c>
      <c r="F25" s="97"/>
      <c r="G25" s="80">
        <f t="shared" si="4"/>
        <v>0</v>
      </c>
      <c r="I25" s="43"/>
    </row>
    <row r="26" spans="1:9" ht="30">
      <c r="A26" s="50">
        <f t="shared" si="5"/>
        <v>14</v>
      </c>
      <c r="B26" s="51"/>
      <c r="C26" s="52" t="s">
        <v>132</v>
      </c>
      <c r="D26" s="53" t="s">
        <v>184</v>
      </c>
      <c r="E26" s="96">
        <v>1028.3</v>
      </c>
      <c r="F26" s="97"/>
      <c r="G26" s="80">
        <f t="shared" si="4"/>
        <v>0</v>
      </c>
      <c r="I26" s="43"/>
    </row>
    <row r="27" spans="1:9" ht="45">
      <c r="A27" s="50">
        <f t="shared" si="5"/>
        <v>15</v>
      </c>
      <c r="B27" s="51"/>
      <c r="C27" s="52" t="s">
        <v>133</v>
      </c>
      <c r="D27" s="53" t="s">
        <v>184</v>
      </c>
      <c r="E27" s="96">
        <v>1294.5999999999999</v>
      </c>
      <c r="F27" s="97"/>
      <c r="G27" s="80">
        <f t="shared" si="4"/>
        <v>0</v>
      </c>
      <c r="I27" s="43"/>
    </row>
    <row r="28" spans="1:9">
      <c r="A28" s="54"/>
      <c r="B28" s="55" t="s">
        <v>100</v>
      </c>
      <c r="C28" s="48" t="s">
        <v>134</v>
      </c>
      <c r="D28" s="58"/>
      <c r="E28" s="102"/>
      <c r="F28" s="98"/>
      <c r="G28" s="81"/>
      <c r="I28" s="43"/>
    </row>
    <row r="29" spans="1:9" ht="30">
      <c r="A29" s="50">
        <f>A27+1</f>
        <v>16</v>
      </c>
      <c r="B29" s="51"/>
      <c r="C29" s="52" t="s">
        <v>135</v>
      </c>
      <c r="D29" s="53" t="s">
        <v>184</v>
      </c>
      <c r="E29" s="96">
        <v>220.3</v>
      </c>
      <c r="F29" s="97"/>
      <c r="G29" s="80">
        <f>ROUND(E29*ROUND(F29,2),2)</f>
        <v>0</v>
      </c>
      <c r="I29" s="43"/>
    </row>
    <row r="30" spans="1:9">
      <c r="A30" s="54"/>
      <c r="B30" s="55" t="s">
        <v>81</v>
      </c>
      <c r="C30" s="48" t="s">
        <v>80</v>
      </c>
      <c r="D30" s="58"/>
      <c r="E30" s="102"/>
      <c r="F30" s="98"/>
      <c r="G30" s="81"/>
      <c r="I30" s="43"/>
    </row>
    <row r="31" spans="1:9" ht="30">
      <c r="A31" s="50">
        <f>A29+1</f>
        <v>17</v>
      </c>
      <c r="B31" s="51"/>
      <c r="C31" s="52" t="s">
        <v>179</v>
      </c>
      <c r="D31" s="53" t="s">
        <v>184</v>
      </c>
      <c r="E31" s="96">
        <v>9556</v>
      </c>
      <c r="F31" s="97"/>
      <c r="G31" s="80">
        <f t="shared" ref="G31:G33" si="6">ROUND(E31*ROUND(F31,2),2)</f>
        <v>0</v>
      </c>
      <c r="I31" s="43"/>
    </row>
    <row r="32" spans="1:9" ht="30">
      <c r="A32" s="50">
        <f>A31+1</f>
        <v>18</v>
      </c>
      <c r="B32" s="51"/>
      <c r="C32" s="52" t="s">
        <v>188</v>
      </c>
      <c r="D32" s="53" t="s">
        <v>184</v>
      </c>
      <c r="E32" s="96">
        <v>648.44000000000005</v>
      </c>
      <c r="F32" s="97"/>
      <c r="G32" s="80">
        <f t="shared" si="6"/>
        <v>0</v>
      </c>
      <c r="I32" s="43"/>
    </row>
    <row r="33" spans="1:12" ht="30">
      <c r="A33" s="50">
        <f>A32+1</f>
        <v>19</v>
      </c>
      <c r="B33" s="51"/>
      <c r="C33" s="52" t="s">
        <v>180</v>
      </c>
      <c r="D33" s="53" t="s">
        <v>184</v>
      </c>
      <c r="E33" s="96">
        <v>9556</v>
      </c>
      <c r="F33" s="97"/>
      <c r="G33" s="80">
        <f t="shared" si="6"/>
        <v>0</v>
      </c>
      <c r="I33" s="43"/>
      <c r="L33" s="43"/>
    </row>
    <row r="34" spans="1:12">
      <c r="A34" s="54"/>
      <c r="B34" s="55" t="s">
        <v>79</v>
      </c>
      <c r="C34" s="48" t="s">
        <v>82</v>
      </c>
      <c r="D34" s="58"/>
      <c r="E34" s="102"/>
      <c r="F34" s="98"/>
      <c r="G34" s="81"/>
      <c r="I34" s="43"/>
    </row>
    <row r="35" spans="1:12" ht="45">
      <c r="A35" s="50">
        <f>A33+1</f>
        <v>20</v>
      </c>
      <c r="B35" s="60"/>
      <c r="C35" s="52" t="s">
        <v>160</v>
      </c>
      <c r="D35" s="53" t="s">
        <v>184</v>
      </c>
      <c r="E35" s="96">
        <v>715.52</v>
      </c>
      <c r="F35" s="97"/>
      <c r="G35" s="80">
        <f>ROUND(E35*ROUND(F35,2),2)</f>
        <v>0</v>
      </c>
      <c r="I35" s="43"/>
    </row>
    <row r="36" spans="1:12">
      <c r="A36" s="54"/>
      <c r="B36" s="55" t="s">
        <v>72</v>
      </c>
      <c r="C36" s="48" t="s">
        <v>90</v>
      </c>
      <c r="D36" s="58"/>
      <c r="E36" s="102"/>
      <c r="F36" s="98"/>
      <c r="G36" s="81"/>
      <c r="I36" s="43"/>
    </row>
    <row r="37" spans="1:12" ht="45">
      <c r="A37" s="50">
        <f>A35+1</f>
        <v>21</v>
      </c>
      <c r="B37" s="60"/>
      <c r="C37" s="52" t="s">
        <v>136</v>
      </c>
      <c r="D37" s="53" t="s">
        <v>184</v>
      </c>
      <c r="E37" s="96">
        <v>46</v>
      </c>
      <c r="F37" s="97"/>
      <c r="G37" s="80">
        <f t="shared" ref="G37:G38" si="7">ROUND(E37*ROUND(F37,2),2)</f>
        <v>0</v>
      </c>
      <c r="I37" s="43"/>
    </row>
    <row r="38" spans="1:12" ht="45">
      <c r="A38" s="50">
        <f>A37+1</f>
        <v>22</v>
      </c>
      <c r="B38" s="60"/>
      <c r="C38" s="52" t="s">
        <v>181</v>
      </c>
      <c r="D38" s="53" t="s">
        <v>184</v>
      </c>
      <c r="E38" s="96">
        <v>760.24</v>
      </c>
      <c r="F38" s="97"/>
      <c r="G38" s="80">
        <f t="shared" si="7"/>
        <v>0</v>
      </c>
      <c r="I38" s="43"/>
    </row>
    <row r="39" spans="1:12">
      <c r="A39" s="54"/>
      <c r="B39" s="55" t="s">
        <v>101</v>
      </c>
      <c r="C39" s="48" t="s">
        <v>102</v>
      </c>
      <c r="D39" s="58"/>
      <c r="E39" s="102"/>
      <c r="F39" s="98"/>
      <c r="G39" s="81"/>
      <c r="I39" s="43"/>
    </row>
    <row r="40" spans="1:12" ht="45">
      <c r="A40" s="50">
        <f>A38+1</f>
        <v>23</v>
      </c>
      <c r="B40" s="60"/>
      <c r="C40" s="52" t="s">
        <v>137</v>
      </c>
      <c r="D40" s="53" t="s">
        <v>184</v>
      </c>
      <c r="E40" s="96">
        <v>626.08000000000004</v>
      </c>
      <c r="F40" s="97"/>
      <c r="G40" s="80">
        <f>ROUND(E40*ROUND(F40,2),2)</f>
        <v>0</v>
      </c>
      <c r="I40" s="43"/>
    </row>
    <row r="41" spans="1:12">
      <c r="A41" s="54"/>
      <c r="B41" s="55" t="s">
        <v>138</v>
      </c>
      <c r="C41" s="48" t="s">
        <v>139</v>
      </c>
      <c r="D41" s="58"/>
      <c r="E41" s="102"/>
      <c r="F41" s="98"/>
      <c r="G41" s="81"/>
      <c r="I41" s="43"/>
    </row>
    <row r="42" spans="1:12" ht="30">
      <c r="A42" s="50">
        <f>A40+1</f>
        <v>24</v>
      </c>
      <c r="B42" s="60"/>
      <c r="C42" s="52" t="s">
        <v>167</v>
      </c>
      <c r="D42" s="53" t="s">
        <v>126</v>
      </c>
      <c r="E42" s="96">
        <v>209.63</v>
      </c>
      <c r="F42" s="97"/>
      <c r="G42" s="80">
        <f>ROUND(E42*ROUND(F42,2),2)</f>
        <v>0</v>
      </c>
      <c r="I42" s="43"/>
    </row>
    <row r="43" spans="1:12">
      <c r="A43" s="61"/>
      <c r="B43" s="62" t="s">
        <v>68</v>
      </c>
      <c r="C43" s="63" t="s">
        <v>69</v>
      </c>
      <c r="D43" s="64"/>
      <c r="E43" s="103"/>
      <c r="F43" s="104"/>
      <c r="G43" s="65"/>
      <c r="I43" s="43"/>
    </row>
    <row r="44" spans="1:12">
      <c r="A44" s="54"/>
      <c r="B44" s="55" t="s">
        <v>140</v>
      </c>
      <c r="C44" s="66" t="s">
        <v>141</v>
      </c>
      <c r="D44" s="67"/>
      <c r="E44" s="106"/>
      <c r="F44" s="107"/>
      <c r="G44" s="81"/>
      <c r="I44" s="43"/>
    </row>
    <row r="45" spans="1:12" ht="30">
      <c r="A45" s="50">
        <f>A42+1</f>
        <v>25</v>
      </c>
      <c r="B45" s="51"/>
      <c r="C45" s="68" t="s">
        <v>161</v>
      </c>
      <c r="D45" s="53" t="s">
        <v>184</v>
      </c>
      <c r="E45" s="96">
        <v>220.3</v>
      </c>
      <c r="F45" s="97"/>
      <c r="G45" s="80">
        <f>ROUND(E45*ROUND(F45,2),2)</f>
        <v>0</v>
      </c>
      <c r="I45" s="43"/>
    </row>
    <row r="46" spans="1:12">
      <c r="A46" s="54"/>
      <c r="B46" s="55" t="s">
        <v>91</v>
      </c>
      <c r="C46" s="66" t="s">
        <v>89</v>
      </c>
      <c r="D46" s="67"/>
      <c r="E46" s="106"/>
      <c r="F46" s="107"/>
      <c r="G46" s="81"/>
      <c r="I46" s="43"/>
    </row>
    <row r="47" spans="1:12" ht="30">
      <c r="A47" s="50">
        <f>A45+1</f>
        <v>26</v>
      </c>
      <c r="B47" s="51"/>
      <c r="C47" s="68" t="s">
        <v>189</v>
      </c>
      <c r="D47" s="53" t="s">
        <v>184</v>
      </c>
      <c r="E47" s="96">
        <v>3398.73</v>
      </c>
      <c r="F47" s="97"/>
      <c r="G47" s="80">
        <f t="shared" ref="G47:G49" si="8">ROUND(E47*ROUND(F47,2),2)</f>
        <v>0</v>
      </c>
      <c r="I47" s="43"/>
    </row>
    <row r="48" spans="1:12" ht="45">
      <c r="A48" s="50">
        <f t="shared" ref="A48" si="9">A47+1</f>
        <v>27</v>
      </c>
      <c r="B48" s="51"/>
      <c r="C48" s="52" t="s">
        <v>142</v>
      </c>
      <c r="D48" s="53" t="s">
        <v>184</v>
      </c>
      <c r="E48" s="96">
        <v>3354</v>
      </c>
      <c r="F48" s="97"/>
      <c r="G48" s="80">
        <f t="shared" si="8"/>
        <v>0</v>
      </c>
      <c r="I48" s="43"/>
    </row>
    <row r="49" spans="1:9" ht="60">
      <c r="A49" s="50">
        <f>A48+1</f>
        <v>28</v>
      </c>
      <c r="B49" s="51"/>
      <c r="C49" s="52" t="s">
        <v>162</v>
      </c>
      <c r="D49" s="53" t="s">
        <v>184</v>
      </c>
      <c r="E49" s="96">
        <v>53</v>
      </c>
      <c r="F49" s="97"/>
      <c r="G49" s="80">
        <f t="shared" si="8"/>
        <v>0</v>
      </c>
      <c r="I49" s="43"/>
    </row>
    <row r="50" spans="1:9">
      <c r="A50" s="54"/>
      <c r="B50" s="55" t="s">
        <v>103</v>
      </c>
      <c r="C50" s="66" t="s">
        <v>104</v>
      </c>
      <c r="D50" s="67"/>
      <c r="E50" s="106"/>
      <c r="F50" s="107"/>
      <c r="G50" s="81"/>
      <c r="I50" s="43"/>
    </row>
    <row r="51" spans="1:9" ht="30">
      <c r="A51" s="50">
        <f>A49+1</f>
        <v>29</v>
      </c>
      <c r="B51" s="51"/>
      <c r="C51" s="68" t="s">
        <v>143</v>
      </c>
      <c r="D51" s="53" t="s">
        <v>184</v>
      </c>
      <c r="E51" s="96">
        <v>1195</v>
      </c>
      <c r="F51" s="97"/>
      <c r="G51" s="80">
        <f>ROUND(E51*ROUND(F51,2),2)</f>
        <v>0</v>
      </c>
      <c r="I51" s="43"/>
    </row>
    <row r="52" spans="1:9">
      <c r="A52" s="54"/>
      <c r="B52" s="55" t="s">
        <v>105</v>
      </c>
      <c r="C52" s="66" t="s">
        <v>106</v>
      </c>
      <c r="D52" s="67"/>
      <c r="E52" s="106"/>
      <c r="F52" s="107"/>
      <c r="G52" s="81"/>
      <c r="I52" s="43"/>
    </row>
    <row r="53" spans="1:9" ht="30">
      <c r="A53" s="50">
        <f>A51+1</f>
        <v>30</v>
      </c>
      <c r="B53" s="51"/>
      <c r="C53" s="68" t="s">
        <v>107</v>
      </c>
      <c r="D53" s="53" t="s">
        <v>184</v>
      </c>
      <c r="E53" s="96">
        <v>559</v>
      </c>
      <c r="F53" s="97"/>
      <c r="G53" s="80">
        <f>ROUND(E53*ROUND(F53,2),2)</f>
        <v>0</v>
      </c>
      <c r="I53" s="43"/>
    </row>
    <row r="54" spans="1:9">
      <c r="A54" s="61"/>
      <c r="B54" s="62" t="s">
        <v>98</v>
      </c>
      <c r="C54" s="63" t="s">
        <v>99</v>
      </c>
      <c r="D54" s="64"/>
      <c r="E54" s="103"/>
      <c r="F54" s="104"/>
      <c r="G54" s="65"/>
      <c r="I54" s="43"/>
    </row>
    <row r="55" spans="1:9">
      <c r="A55" s="54"/>
      <c r="B55" s="55" t="s">
        <v>144</v>
      </c>
      <c r="C55" s="88" t="s">
        <v>145</v>
      </c>
      <c r="D55" s="67"/>
      <c r="E55" s="106"/>
      <c r="F55" s="107"/>
      <c r="G55" s="81"/>
      <c r="I55" s="43"/>
    </row>
    <row r="56" spans="1:9" ht="45">
      <c r="A56" s="50">
        <f>A53+1</f>
        <v>31</v>
      </c>
      <c r="B56" s="51"/>
      <c r="C56" s="69" t="s">
        <v>147</v>
      </c>
      <c r="D56" s="53" t="s">
        <v>184</v>
      </c>
      <c r="E56" s="96">
        <v>92</v>
      </c>
      <c r="F56" s="97"/>
      <c r="G56" s="80">
        <f t="shared" ref="G56:G57" si="10">ROUND(E56*ROUND(F56,2),2)</f>
        <v>0</v>
      </c>
      <c r="I56" s="43"/>
    </row>
    <row r="57" spans="1:9" ht="45">
      <c r="A57" s="50">
        <f>A56+1</f>
        <v>32</v>
      </c>
      <c r="B57" s="51"/>
      <c r="C57" s="68" t="s">
        <v>146</v>
      </c>
      <c r="D57" s="53" t="s">
        <v>184</v>
      </c>
      <c r="E57" s="96">
        <v>263</v>
      </c>
      <c r="F57" s="97"/>
      <c r="G57" s="80">
        <f t="shared" si="10"/>
        <v>0</v>
      </c>
      <c r="I57" s="43"/>
    </row>
    <row r="58" spans="1:9">
      <c r="A58" s="54"/>
      <c r="B58" s="55" t="s">
        <v>108</v>
      </c>
      <c r="C58" s="66" t="s">
        <v>109</v>
      </c>
      <c r="D58" s="67"/>
      <c r="E58" s="106"/>
      <c r="F58" s="107"/>
      <c r="G58" s="81"/>
      <c r="I58" s="43"/>
    </row>
    <row r="59" spans="1:9" ht="30">
      <c r="A59" s="50">
        <f>A57+1</f>
        <v>33</v>
      </c>
      <c r="B59" s="51"/>
      <c r="C59" s="68" t="s">
        <v>110</v>
      </c>
      <c r="D59" s="53" t="s">
        <v>184</v>
      </c>
      <c r="E59" s="96">
        <v>1028.3</v>
      </c>
      <c r="F59" s="97"/>
      <c r="G59" s="80">
        <f>ROUND(E59*ROUND(F59,2),2)</f>
        <v>0</v>
      </c>
      <c r="I59" s="43"/>
    </row>
    <row r="60" spans="1:9">
      <c r="A60" s="54"/>
      <c r="B60" s="55" t="s">
        <v>111</v>
      </c>
      <c r="C60" s="66" t="s">
        <v>112</v>
      </c>
      <c r="D60" s="67"/>
      <c r="E60" s="106"/>
      <c r="F60" s="107"/>
      <c r="G60" s="81"/>
      <c r="I60" s="43"/>
    </row>
    <row r="61" spans="1:9" ht="30">
      <c r="A61" s="50">
        <f>A59+1</f>
        <v>34</v>
      </c>
      <c r="B61" s="51"/>
      <c r="C61" s="52" t="s">
        <v>148</v>
      </c>
      <c r="D61" s="53" t="s">
        <v>51</v>
      </c>
      <c r="E61" s="96">
        <v>47</v>
      </c>
      <c r="F61" s="97"/>
      <c r="G61" s="80">
        <f t="shared" ref="G61:G62" si="11">ROUND(E61*ROUND(F61,2),2)</f>
        <v>0</v>
      </c>
      <c r="I61" s="43"/>
    </row>
    <row r="62" spans="1:9" ht="30">
      <c r="A62" s="50">
        <f>A61+1</f>
        <v>35</v>
      </c>
      <c r="B62" s="51"/>
      <c r="C62" s="68" t="s">
        <v>163</v>
      </c>
      <c r="D62" s="53" t="s">
        <v>77</v>
      </c>
      <c r="E62" s="96">
        <v>12</v>
      </c>
      <c r="F62" s="97"/>
      <c r="G62" s="80">
        <f t="shared" si="11"/>
        <v>0</v>
      </c>
      <c r="I62" s="43"/>
    </row>
    <row r="63" spans="1:9">
      <c r="A63" s="54"/>
      <c r="B63" s="55" t="s">
        <v>164</v>
      </c>
      <c r="C63" s="66" t="s">
        <v>165</v>
      </c>
      <c r="D63" s="67"/>
      <c r="E63" s="106"/>
      <c r="F63" s="107"/>
      <c r="G63" s="81"/>
      <c r="I63" s="43"/>
    </row>
    <row r="64" spans="1:9">
      <c r="A64" s="50">
        <f>A62+1</f>
        <v>36</v>
      </c>
      <c r="B64" s="51"/>
      <c r="C64" s="68" t="s">
        <v>166</v>
      </c>
      <c r="D64" s="53" t="s">
        <v>51</v>
      </c>
      <c r="E64" s="96">
        <v>829</v>
      </c>
      <c r="F64" s="97"/>
      <c r="G64" s="80">
        <f>ROUND(E64*ROUND(F64,2),2)</f>
        <v>0</v>
      </c>
      <c r="I64" s="43"/>
    </row>
    <row r="65" spans="1:9">
      <c r="A65" s="61"/>
      <c r="B65" s="62" t="s">
        <v>113</v>
      </c>
      <c r="C65" s="63" t="s">
        <v>114</v>
      </c>
      <c r="D65" s="64"/>
      <c r="E65" s="103"/>
      <c r="F65" s="104"/>
      <c r="G65" s="65"/>
      <c r="I65" s="43"/>
    </row>
    <row r="66" spans="1:9">
      <c r="A66" s="54"/>
      <c r="B66" s="55" t="s">
        <v>115</v>
      </c>
      <c r="C66" s="66" t="s">
        <v>116</v>
      </c>
      <c r="D66" s="67"/>
      <c r="E66" s="106"/>
      <c r="F66" s="107"/>
      <c r="G66" s="81"/>
      <c r="I66" s="43"/>
    </row>
    <row r="67" spans="1:9" ht="30">
      <c r="A67" s="50">
        <v>37</v>
      </c>
      <c r="B67" s="51"/>
      <c r="C67" s="70" t="s">
        <v>149</v>
      </c>
      <c r="D67" s="53" t="s">
        <v>184</v>
      </c>
      <c r="E67" s="96">
        <v>97.32</v>
      </c>
      <c r="F67" s="97"/>
      <c r="G67" s="80">
        <f t="shared" ref="G67:G69" si="12">ROUND(E67*ROUND(F67,2),2)</f>
        <v>0</v>
      </c>
      <c r="I67" s="43"/>
    </row>
    <row r="68" spans="1:9" ht="30">
      <c r="A68" s="50">
        <f>A67+1</f>
        <v>38</v>
      </c>
      <c r="B68" s="51"/>
      <c r="C68" s="70" t="s">
        <v>150</v>
      </c>
      <c r="D68" s="53" t="s">
        <v>184</v>
      </c>
      <c r="E68" s="96">
        <v>77.7</v>
      </c>
      <c r="F68" s="97"/>
      <c r="G68" s="80">
        <f t="shared" si="12"/>
        <v>0</v>
      </c>
      <c r="I68" s="43"/>
    </row>
    <row r="69" spans="1:9" ht="45">
      <c r="A69" s="50">
        <f>A68+1</f>
        <v>39</v>
      </c>
      <c r="B69" s="51"/>
      <c r="C69" s="70" t="s">
        <v>151</v>
      </c>
      <c r="D69" s="53" t="s">
        <v>184</v>
      </c>
      <c r="E69" s="96">
        <v>1.53</v>
      </c>
      <c r="F69" s="97"/>
      <c r="G69" s="80">
        <f t="shared" si="12"/>
        <v>0</v>
      </c>
      <c r="I69" s="43"/>
    </row>
    <row r="70" spans="1:9">
      <c r="A70" s="54"/>
      <c r="B70" s="55" t="s">
        <v>117</v>
      </c>
      <c r="C70" s="66" t="s">
        <v>118</v>
      </c>
      <c r="D70" s="67"/>
      <c r="E70" s="106"/>
      <c r="F70" s="107"/>
      <c r="G70" s="81"/>
      <c r="I70" s="43"/>
    </row>
    <row r="71" spans="1:9" ht="45">
      <c r="A71" s="50">
        <f>A69+1</f>
        <v>40</v>
      </c>
      <c r="B71" s="51"/>
      <c r="C71" s="68" t="s">
        <v>119</v>
      </c>
      <c r="D71" s="53" t="s">
        <v>77</v>
      </c>
      <c r="E71" s="96">
        <v>5</v>
      </c>
      <c r="F71" s="97"/>
      <c r="G71" s="80">
        <f t="shared" ref="G71:G74" si="13">ROUND(E71*ROUND(F71,2),2)</f>
        <v>0</v>
      </c>
      <c r="I71" s="43"/>
    </row>
    <row r="72" spans="1:9" ht="30">
      <c r="A72" s="50">
        <f>A71+1</f>
        <v>41</v>
      </c>
      <c r="B72" s="51"/>
      <c r="C72" s="68" t="s">
        <v>120</v>
      </c>
      <c r="D72" s="53" t="s">
        <v>77</v>
      </c>
      <c r="E72" s="96">
        <v>2</v>
      </c>
      <c r="F72" s="97"/>
      <c r="G72" s="80">
        <f t="shared" si="13"/>
        <v>0</v>
      </c>
      <c r="I72" s="43"/>
    </row>
    <row r="73" spans="1:9" ht="30">
      <c r="A73" s="50">
        <f>A72+1</f>
        <v>42</v>
      </c>
      <c r="B73" s="51"/>
      <c r="C73" s="68" t="s">
        <v>177</v>
      </c>
      <c r="D73" s="53" t="s">
        <v>77</v>
      </c>
      <c r="E73" s="96">
        <v>1</v>
      </c>
      <c r="F73" s="97"/>
      <c r="G73" s="80">
        <f t="shared" si="13"/>
        <v>0</v>
      </c>
      <c r="I73" s="43"/>
    </row>
    <row r="74" spans="1:9" ht="30">
      <c r="A74" s="50">
        <v>43</v>
      </c>
      <c r="B74" s="51"/>
      <c r="C74" s="68" t="s">
        <v>121</v>
      </c>
      <c r="D74" s="53" t="s">
        <v>77</v>
      </c>
      <c r="E74" s="96">
        <v>1</v>
      </c>
      <c r="F74" s="97"/>
      <c r="G74" s="80">
        <f t="shared" si="13"/>
        <v>0</v>
      </c>
      <c r="I74" s="43"/>
    </row>
    <row r="75" spans="1:9">
      <c r="A75" s="61"/>
      <c r="B75" s="71" t="s">
        <v>73</v>
      </c>
      <c r="C75" s="63" t="s">
        <v>83</v>
      </c>
      <c r="D75" s="72"/>
      <c r="E75" s="108"/>
      <c r="F75" s="105"/>
      <c r="G75" s="65"/>
      <c r="I75" s="43"/>
    </row>
    <row r="76" spans="1:9">
      <c r="A76" s="54"/>
      <c r="B76" s="47" t="s">
        <v>74</v>
      </c>
      <c r="C76" s="48" t="s">
        <v>88</v>
      </c>
      <c r="D76" s="73"/>
      <c r="E76" s="109"/>
      <c r="F76" s="110"/>
      <c r="G76" s="81"/>
      <c r="I76" s="43"/>
    </row>
    <row r="77" spans="1:9" ht="30">
      <c r="A77" s="50">
        <f>A74+1</f>
        <v>44</v>
      </c>
      <c r="B77" s="51"/>
      <c r="C77" s="52" t="s">
        <v>152</v>
      </c>
      <c r="D77" s="53" t="s">
        <v>51</v>
      </c>
      <c r="E77" s="96">
        <v>20</v>
      </c>
      <c r="F77" s="97"/>
      <c r="G77" s="80">
        <f>ROUND(E77*ROUND(F77,2),2)</f>
        <v>0</v>
      </c>
      <c r="I77" s="43"/>
    </row>
    <row r="78" spans="1:9">
      <c r="A78" s="54"/>
      <c r="B78" s="47" t="s">
        <v>85</v>
      </c>
      <c r="C78" s="48" t="s">
        <v>87</v>
      </c>
      <c r="D78" s="73"/>
      <c r="E78" s="109"/>
      <c r="F78" s="110"/>
      <c r="G78" s="81"/>
      <c r="I78" s="43"/>
    </row>
    <row r="79" spans="1:9" ht="45">
      <c r="A79" s="50">
        <v>45</v>
      </c>
      <c r="B79" s="51"/>
      <c r="C79" s="52" t="s">
        <v>84</v>
      </c>
      <c r="D79" s="53" t="s">
        <v>184</v>
      </c>
      <c r="E79" s="96">
        <v>46</v>
      </c>
      <c r="F79" s="97"/>
      <c r="G79" s="80">
        <f>ROUND(E79*ROUND(F79,2),2)</f>
        <v>0</v>
      </c>
      <c r="I79" s="43"/>
    </row>
    <row r="80" spans="1:9">
      <c r="A80" s="54"/>
      <c r="B80" s="47" t="s">
        <v>75</v>
      </c>
      <c r="C80" s="48" t="s">
        <v>76</v>
      </c>
      <c r="D80" s="73"/>
      <c r="E80" s="109"/>
      <c r="F80" s="110"/>
      <c r="G80" s="81"/>
      <c r="I80" s="43"/>
    </row>
    <row r="81" spans="1:9" ht="45">
      <c r="A81" s="50">
        <f>A79+1</f>
        <v>46</v>
      </c>
      <c r="B81" s="51"/>
      <c r="C81" s="52" t="s">
        <v>153</v>
      </c>
      <c r="D81" s="53" t="s">
        <v>51</v>
      </c>
      <c r="E81" s="96">
        <v>27</v>
      </c>
      <c r="F81" s="97"/>
      <c r="G81" s="80">
        <f>ROUND(E81*ROUND(F81,2),2)</f>
        <v>0</v>
      </c>
      <c r="I81" s="43"/>
    </row>
    <row r="82" spans="1:9">
      <c r="A82" s="61"/>
      <c r="B82" s="71" t="s">
        <v>154</v>
      </c>
      <c r="C82" s="63" t="s">
        <v>155</v>
      </c>
      <c r="D82" s="72"/>
      <c r="E82" s="108"/>
      <c r="F82" s="105"/>
      <c r="G82" s="65"/>
    </row>
    <row r="83" spans="1:9">
      <c r="A83" s="54"/>
      <c r="B83" s="47" t="s">
        <v>156</v>
      </c>
      <c r="C83" s="48" t="s">
        <v>157</v>
      </c>
      <c r="D83" s="73"/>
      <c r="E83" s="109"/>
      <c r="F83" s="110"/>
      <c r="G83" s="81"/>
    </row>
    <row r="84" spans="1:9" ht="15.75" thickBot="1">
      <c r="A84" s="74">
        <v>47</v>
      </c>
      <c r="B84" s="75"/>
      <c r="C84" s="117" t="s">
        <v>158</v>
      </c>
      <c r="D84" s="76" t="s">
        <v>77</v>
      </c>
      <c r="E84" s="118">
        <v>1</v>
      </c>
      <c r="F84" s="134"/>
      <c r="G84" s="119">
        <f>ROUND(E84*ROUND(F84,2),2)</f>
        <v>0</v>
      </c>
    </row>
    <row r="85" spans="1:9">
      <c r="A85" s="115" t="s">
        <v>191</v>
      </c>
      <c r="B85" s="115"/>
      <c r="C85" s="115"/>
      <c r="D85" s="115"/>
      <c r="E85" s="115"/>
      <c r="F85" s="115"/>
      <c r="G85" s="116">
        <f>SUM(G6:G84)</f>
        <v>0</v>
      </c>
    </row>
    <row r="86" spans="1:9" ht="15.75" thickBot="1">
      <c r="A86" s="111" t="s">
        <v>192</v>
      </c>
      <c r="B86" s="111"/>
      <c r="C86" s="111"/>
      <c r="D86" s="111"/>
      <c r="E86" s="111"/>
      <c r="F86" s="111"/>
      <c r="G86" s="114">
        <f>ROUND(G85*0.23,2)</f>
        <v>0</v>
      </c>
    </row>
    <row r="87" spans="1:9" ht="20.100000000000001" customHeight="1" thickBot="1">
      <c r="A87" s="112" t="s">
        <v>182</v>
      </c>
      <c r="B87" s="112"/>
      <c r="C87" s="112"/>
      <c r="D87" s="112"/>
      <c r="E87" s="112"/>
      <c r="F87" s="113"/>
      <c r="G87" s="87">
        <f>G85+G86</f>
        <v>0</v>
      </c>
    </row>
    <row r="88" spans="1:9">
      <c r="A88" s="78"/>
      <c r="B88" s="78"/>
      <c r="C88" s="78"/>
      <c r="D88" s="78"/>
      <c r="E88" s="78"/>
      <c r="F88" s="85"/>
      <c r="G88" s="83"/>
    </row>
    <row r="89" spans="1:9">
      <c r="A89" s="78"/>
      <c r="B89" s="78"/>
      <c r="C89" s="78"/>
      <c r="D89" s="78"/>
      <c r="E89" s="78"/>
      <c r="F89" s="85"/>
      <c r="G89" s="83"/>
    </row>
    <row r="90" spans="1:9">
      <c r="A90" s="78"/>
      <c r="B90" s="78"/>
      <c r="C90" s="78"/>
      <c r="D90" s="78"/>
      <c r="E90" s="78"/>
      <c r="F90" s="85"/>
      <c r="G90" s="83"/>
    </row>
    <row r="91" spans="1:9">
      <c r="A91" s="78"/>
      <c r="B91" s="78"/>
      <c r="C91" s="78"/>
      <c r="D91" s="78"/>
      <c r="E91" s="78"/>
      <c r="F91" s="85"/>
      <c r="G91" s="83"/>
    </row>
    <row r="92" spans="1:9">
      <c r="A92" s="78"/>
      <c r="B92" s="78"/>
      <c r="C92" s="78"/>
      <c r="D92" s="78"/>
      <c r="E92" s="78"/>
      <c r="F92" s="85"/>
      <c r="G92" s="83"/>
    </row>
    <row r="93" spans="1:9">
      <c r="A93" s="78"/>
      <c r="B93" s="78"/>
      <c r="C93" s="78"/>
      <c r="D93" s="89" t="s">
        <v>193</v>
      </c>
      <c r="E93" s="78"/>
      <c r="F93" s="85"/>
      <c r="G93" s="83"/>
    </row>
    <row r="94" spans="1:9">
      <c r="A94" s="78"/>
      <c r="B94" s="78"/>
      <c r="C94" s="78"/>
      <c r="D94" s="90" t="s">
        <v>194</v>
      </c>
      <c r="E94" s="78"/>
      <c r="F94" s="85"/>
      <c r="G94" s="83"/>
    </row>
  </sheetData>
  <sheetProtection algorithmName="SHA-512" hashValue="BtwwogXCyW8r29Dz5a81XAF9bCnJ2E7hhadEx0NM4sXQHsacQc36JCmHslj6Mk+OHCO0e5MwaiYQfdqpcMM6ew==" saltValue="wBibSSachziZGNknsIOUdA==" spinCount="100000" sheet="1" objects="1" scenarios="1"/>
  <mergeCells count="5">
    <mergeCell ref="A85:F85"/>
    <mergeCell ref="A86:F86"/>
    <mergeCell ref="A87:F87"/>
    <mergeCell ref="A1:G1"/>
    <mergeCell ref="A2:G2"/>
  </mergeCells>
  <printOptions horizontalCentered="1"/>
  <pageMargins left="0.78740157480314965" right="0.59055118110236227" top="0.59055118110236227" bottom="0.59055118110236227" header="0.31496062992125984" footer="0.31496062992125984"/>
  <pageSetup paperSize="9" scale="80" orientation="portrait" r:id="rId1"/>
  <headerFooter>
    <oddHeader>&amp;RFormularz 2.2</oddHeader>
    <oddFooter>Strona &amp;P z &amp;N</oddFooter>
  </headerFooter>
  <rowBreaks count="2" manualBreakCount="2">
    <brk id="35" max="6" man="1"/>
    <brk id="6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45"/>
  <sheetViews>
    <sheetView workbookViewId="0"/>
  </sheetViews>
  <sheetFormatPr defaultRowHeight="14.25"/>
  <cols>
    <col min="1" max="1" width="12.25" customWidth="1"/>
    <col min="2" max="2" width="6.125" customWidth="1"/>
    <col min="3" max="3" width="11.375" customWidth="1"/>
    <col min="4" max="4" width="9.875" customWidth="1"/>
    <col min="5" max="5" width="14.375" customWidth="1"/>
    <col min="6" max="6" width="14.75" customWidth="1"/>
    <col min="7" max="7" width="10.125" customWidth="1"/>
    <col min="8" max="8" width="10" customWidth="1"/>
    <col min="9" max="9" width="10.75" customWidth="1"/>
    <col min="10" max="10" width="11.375" customWidth="1"/>
  </cols>
  <sheetData>
    <row r="1" spans="1:11">
      <c r="J1" s="1" t="s">
        <v>0</v>
      </c>
    </row>
    <row r="2" spans="1:11" ht="18">
      <c r="A2" s="3" t="s">
        <v>1</v>
      </c>
      <c r="D2" s="2"/>
      <c r="E2" s="2"/>
      <c r="F2" s="2"/>
      <c r="G2" s="2"/>
      <c r="H2" s="2"/>
    </row>
    <row r="4" spans="1:11" ht="15.75">
      <c r="A4" s="4" t="s">
        <v>2</v>
      </c>
    </row>
    <row r="5" spans="1:11" ht="15" thickBot="1"/>
    <row r="6" spans="1:11" ht="25.5">
      <c r="A6" s="9" t="s">
        <v>55</v>
      </c>
      <c r="B6" s="36" t="s">
        <v>60</v>
      </c>
      <c r="C6" s="10" t="s">
        <v>35</v>
      </c>
      <c r="D6" s="11" t="s">
        <v>37</v>
      </c>
      <c r="E6" s="38" t="s">
        <v>38</v>
      </c>
      <c r="F6" s="38" t="s">
        <v>39</v>
      </c>
      <c r="G6" s="40" t="s">
        <v>40</v>
      </c>
      <c r="H6" s="40" t="s">
        <v>41</v>
      </c>
      <c r="I6" s="40" t="s">
        <v>53</v>
      </c>
      <c r="J6" s="32" t="s">
        <v>42</v>
      </c>
      <c r="K6" s="6"/>
    </row>
    <row r="7" spans="1:11" ht="84.75" customHeight="1" thickBot="1">
      <c r="A7" s="12" t="s">
        <v>3</v>
      </c>
      <c r="B7" s="37"/>
      <c r="C7" s="13" t="s">
        <v>36</v>
      </c>
      <c r="D7" s="14" t="s">
        <v>43</v>
      </c>
      <c r="E7" s="39"/>
      <c r="F7" s="39"/>
      <c r="G7" s="41"/>
      <c r="H7" s="41"/>
      <c r="I7" s="41"/>
      <c r="J7" s="33"/>
      <c r="K7" s="6"/>
    </row>
    <row r="8" spans="1:11" ht="13.5" customHeight="1" thickBot="1">
      <c r="A8" s="15"/>
      <c r="B8" s="16"/>
      <c r="C8" s="17" t="s">
        <v>59</v>
      </c>
      <c r="D8" s="17" t="s">
        <v>52</v>
      </c>
      <c r="E8" s="17" t="s">
        <v>50</v>
      </c>
      <c r="F8" s="17" t="s">
        <v>50</v>
      </c>
      <c r="G8" s="17" t="s">
        <v>50</v>
      </c>
      <c r="H8" s="17" t="s">
        <v>50</v>
      </c>
      <c r="I8" s="17" t="s">
        <v>52</v>
      </c>
      <c r="J8" s="18" t="s">
        <v>50</v>
      </c>
      <c r="K8" s="6"/>
    </row>
    <row r="9" spans="1:11">
      <c r="A9" s="28" t="s">
        <v>4</v>
      </c>
      <c r="B9" s="7" t="s">
        <v>57</v>
      </c>
      <c r="C9" s="29">
        <v>4.5</v>
      </c>
      <c r="D9" s="27">
        <f>0.86*C9*1.1</f>
        <v>4.2570000000000006</v>
      </c>
      <c r="E9" s="27">
        <f>2*0.5*(2.7+0.6)*0.7*1.1</f>
        <v>2.5410000000000004</v>
      </c>
      <c r="F9" s="27">
        <v>26</v>
      </c>
      <c r="G9" s="27">
        <v>5</v>
      </c>
      <c r="H9" s="27">
        <f>4.7*C9*1.1</f>
        <v>23.265000000000004</v>
      </c>
      <c r="I9" s="27">
        <f>0.6*0.3*C9*1.1</f>
        <v>0.89100000000000001</v>
      </c>
      <c r="J9" s="30">
        <f>2*C9*1.1</f>
        <v>9.9</v>
      </c>
      <c r="K9" s="6"/>
    </row>
    <row r="10" spans="1:11">
      <c r="A10" s="19" t="s">
        <v>5</v>
      </c>
      <c r="B10" s="5" t="s">
        <v>57</v>
      </c>
      <c r="C10" s="24">
        <v>4.5</v>
      </c>
      <c r="D10" s="26">
        <f>0.9*C10*1.1</f>
        <v>4.4550000000000001</v>
      </c>
      <c r="E10" s="27">
        <f t="shared" ref="E10:E44" si="0">2*0.5*(2.7+0.6)*0.7*1.1</f>
        <v>2.5410000000000004</v>
      </c>
      <c r="F10" s="22">
        <v>26</v>
      </c>
      <c r="G10" s="22">
        <v>5</v>
      </c>
      <c r="H10" s="27">
        <f>4.7*C10*1.1</f>
        <v>23.265000000000004</v>
      </c>
      <c r="I10" s="27">
        <f t="shared" ref="I10:I44" si="1">0.6*0.3*C10*1.1</f>
        <v>0.89100000000000001</v>
      </c>
      <c r="J10" s="30">
        <f>2*C10*1.1</f>
        <v>9.9</v>
      </c>
      <c r="K10" s="6"/>
    </row>
    <row r="11" spans="1:11">
      <c r="A11" s="19" t="s">
        <v>6</v>
      </c>
      <c r="B11" s="5" t="s">
        <v>56</v>
      </c>
      <c r="C11" s="24">
        <v>4</v>
      </c>
      <c r="D11" s="26">
        <f>0.9*C11*1.1</f>
        <v>3.9600000000000004</v>
      </c>
      <c r="E11" s="27">
        <f t="shared" si="0"/>
        <v>2.5410000000000004</v>
      </c>
      <c r="F11" s="22">
        <v>25</v>
      </c>
      <c r="G11" s="22">
        <v>5</v>
      </c>
      <c r="H11" s="27">
        <f>4.7*C11*1.1</f>
        <v>20.680000000000003</v>
      </c>
      <c r="I11" s="27">
        <f t="shared" si="1"/>
        <v>0.79200000000000004</v>
      </c>
      <c r="J11" s="30">
        <f>2*C11*1.1</f>
        <v>8.8000000000000007</v>
      </c>
      <c r="K11" s="6"/>
    </row>
    <row r="12" spans="1:11">
      <c r="A12" s="19" t="s">
        <v>7</v>
      </c>
      <c r="B12" s="5" t="s">
        <v>56</v>
      </c>
      <c r="C12" s="24">
        <v>4.2</v>
      </c>
      <c r="D12" s="26">
        <f>0.84*C12*1.1</f>
        <v>3.8808000000000002</v>
      </c>
      <c r="E12" s="27">
        <f t="shared" si="0"/>
        <v>2.5410000000000004</v>
      </c>
      <c r="F12" s="22">
        <v>26</v>
      </c>
      <c r="G12" s="22">
        <v>5</v>
      </c>
      <c r="H12" s="27">
        <f>4.8*C12*1.1</f>
        <v>22.176000000000002</v>
      </c>
      <c r="I12" s="27">
        <f t="shared" si="1"/>
        <v>0.83160000000000012</v>
      </c>
      <c r="J12" s="30">
        <f t="shared" ref="J12:J44" si="2">2*C12*1.1</f>
        <v>9.240000000000002</v>
      </c>
      <c r="K12" s="6"/>
    </row>
    <row r="13" spans="1:11">
      <c r="A13" s="19" t="s">
        <v>8</v>
      </c>
      <c r="B13" s="5" t="s">
        <v>57</v>
      </c>
      <c r="C13" s="24">
        <v>4.5</v>
      </c>
      <c r="D13" s="26">
        <f>1.07*C13*1.1</f>
        <v>5.2965000000000009</v>
      </c>
      <c r="E13" s="27">
        <f t="shared" si="0"/>
        <v>2.5410000000000004</v>
      </c>
      <c r="F13" s="22">
        <v>26</v>
      </c>
      <c r="G13" s="22">
        <v>7</v>
      </c>
      <c r="H13" s="27">
        <f>4.5*C13*1.1</f>
        <v>22.275000000000002</v>
      </c>
      <c r="I13" s="27">
        <f t="shared" si="1"/>
        <v>0.89100000000000001</v>
      </c>
      <c r="J13" s="30">
        <f t="shared" si="2"/>
        <v>9.9</v>
      </c>
      <c r="K13" s="6"/>
    </row>
    <row r="14" spans="1:11">
      <c r="A14" s="19" t="s">
        <v>9</v>
      </c>
      <c r="B14" s="5" t="s">
        <v>57</v>
      </c>
      <c r="C14" s="24">
        <v>4.5</v>
      </c>
      <c r="D14" s="26">
        <f>1.09*C14*1.1</f>
        <v>5.3955000000000011</v>
      </c>
      <c r="E14" s="27">
        <f t="shared" si="0"/>
        <v>2.5410000000000004</v>
      </c>
      <c r="F14" s="22">
        <v>26</v>
      </c>
      <c r="G14" s="22">
        <v>7</v>
      </c>
      <c r="H14" s="27">
        <f>4.7*C14*1.1</f>
        <v>23.265000000000004</v>
      </c>
      <c r="I14" s="27">
        <f t="shared" si="1"/>
        <v>0.89100000000000001</v>
      </c>
      <c r="J14" s="30">
        <f t="shared" si="2"/>
        <v>9.9</v>
      </c>
      <c r="K14" s="6"/>
    </row>
    <row r="15" spans="1:11">
      <c r="A15" s="19" t="s">
        <v>10</v>
      </c>
      <c r="B15" s="5" t="s">
        <v>57</v>
      </c>
      <c r="C15" s="24">
        <v>4.5</v>
      </c>
      <c r="D15" s="26">
        <f>0.95*C15*1.1</f>
        <v>4.7024999999999997</v>
      </c>
      <c r="E15" s="27">
        <f t="shared" si="0"/>
        <v>2.5410000000000004</v>
      </c>
      <c r="F15" s="22">
        <v>26</v>
      </c>
      <c r="G15" s="22">
        <v>6</v>
      </c>
      <c r="H15" s="27">
        <f>4.7*C15*1.1</f>
        <v>23.265000000000004</v>
      </c>
      <c r="I15" s="27">
        <f t="shared" si="1"/>
        <v>0.89100000000000001</v>
      </c>
      <c r="J15" s="30">
        <f t="shared" si="2"/>
        <v>9.9</v>
      </c>
      <c r="K15" s="6"/>
    </row>
    <row r="16" spans="1:11">
      <c r="A16" s="19" t="s">
        <v>11</v>
      </c>
      <c r="B16" s="5" t="s">
        <v>57</v>
      </c>
      <c r="C16" s="24">
        <v>6.5</v>
      </c>
      <c r="D16" s="26">
        <f>4.27*C16*1.1</f>
        <v>30.530499999999996</v>
      </c>
      <c r="E16" s="27">
        <f t="shared" si="0"/>
        <v>2.5410000000000004</v>
      </c>
      <c r="F16" s="22">
        <v>32</v>
      </c>
      <c r="G16" s="22">
        <v>12</v>
      </c>
      <c r="H16" s="27">
        <f>5.5*C16*1.1</f>
        <v>39.325000000000003</v>
      </c>
      <c r="I16" s="27">
        <f t="shared" si="1"/>
        <v>1.2869999999999999</v>
      </c>
      <c r="J16" s="30">
        <f t="shared" si="2"/>
        <v>14.3</v>
      </c>
      <c r="K16" s="6"/>
    </row>
    <row r="17" spans="1:11">
      <c r="A17" s="19" t="s">
        <v>12</v>
      </c>
      <c r="B17" s="5" t="s">
        <v>57</v>
      </c>
      <c r="C17" s="24">
        <v>4.5</v>
      </c>
      <c r="D17" s="26">
        <f>0.9*C17*1.1</f>
        <v>4.4550000000000001</v>
      </c>
      <c r="E17" s="27">
        <f t="shared" si="0"/>
        <v>2.5410000000000004</v>
      </c>
      <c r="F17" s="22">
        <v>26</v>
      </c>
      <c r="G17" s="22">
        <v>5</v>
      </c>
      <c r="H17" s="27">
        <f>4.6*C17*1.1</f>
        <v>22.77</v>
      </c>
      <c r="I17" s="27">
        <f t="shared" si="1"/>
        <v>0.89100000000000001</v>
      </c>
      <c r="J17" s="30">
        <f t="shared" si="2"/>
        <v>9.9</v>
      </c>
      <c r="K17" s="6"/>
    </row>
    <row r="18" spans="1:11">
      <c r="A18" s="19" t="s">
        <v>13</v>
      </c>
      <c r="B18" s="5" t="s">
        <v>57</v>
      </c>
      <c r="C18" s="24">
        <v>4.5</v>
      </c>
      <c r="D18" s="26">
        <f>1.09*C18*1.1</f>
        <v>5.3955000000000011</v>
      </c>
      <c r="E18" s="27">
        <f t="shared" si="0"/>
        <v>2.5410000000000004</v>
      </c>
      <c r="F18" s="22">
        <v>26</v>
      </c>
      <c r="G18" s="22">
        <v>6</v>
      </c>
      <c r="H18" s="27">
        <f>4.5*C18*1.1</f>
        <v>22.275000000000002</v>
      </c>
      <c r="I18" s="27">
        <f t="shared" si="1"/>
        <v>0.89100000000000001</v>
      </c>
      <c r="J18" s="30">
        <f t="shared" si="2"/>
        <v>9.9</v>
      </c>
      <c r="K18" s="6"/>
    </row>
    <row r="19" spans="1:11">
      <c r="A19" s="19" t="s">
        <v>14</v>
      </c>
      <c r="B19" s="5" t="s">
        <v>57</v>
      </c>
      <c r="C19" s="24">
        <v>5.7</v>
      </c>
      <c r="D19" s="26">
        <f>2.65*C19*1.1</f>
        <v>16.615500000000001</v>
      </c>
      <c r="E19" s="27">
        <f t="shared" si="0"/>
        <v>2.5410000000000004</v>
      </c>
      <c r="F19" s="22">
        <v>27</v>
      </c>
      <c r="G19" s="22">
        <v>10</v>
      </c>
      <c r="H19" s="27">
        <f>5.1*C19*1.1</f>
        <v>31.977000000000004</v>
      </c>
      <c r="I19" s="27">
        <f t="shared" si="1"/>
        <v>1.1286</v>
      </c>
      <c r="J19" s="30">
        <f t="shared" si="2"/>
        <v>12.540000000000001</v>
      </c>
      <c r="K19" s="6"/>
    </row>
    <row r="20" spans="1:11">
      <c r="A20" s="19" t="s">
        <v>15</v>
      </c>
      <c r="B20" s="5" t="s">
        <v>57</v>
      </c>
      <c r="C20" s="24">
        <v>4.5</v>
      </c>
      <c r="D20" s="26">
        <f>1.26*C20*1.1</f>
        <v>6.2370000000000001</v>
      </c>
      <c r="E20" s="27">
        <f t="shared" si="0"/>
        <v>2.5410000000000004</v>
      </c>
      <c r="F20" s="22">
        <v>26</v>
      </c>
      <c r="G20" s="22">
        <v>6</v>
      </c>
      <c r="H20" s="27">
        <f>4.6*C20*1.1</f>
        <v>22.77</v>
      </c>
      <c r="I20" s="27">
        <f t="shared" si="1"/>
        <v>0.89100000000000001</v>
      </c>
      <c r="J20" s="30">
        <f t="shared" si="2"/>
        <v>9.9</v>
      </c>
      <c r="K20" s="6"/>
    </row>
    <row r="21" spans="1:11">
      <c r="A21" s="19" t="s">
        <v>16</v>
      </c>
      <c r="B21" s="5" t="s">
        <v>57</v>
      </c>
      <c r="C21" s="24">
        <v>4</v>
      </c>
      <c r="D21" s="26">
        <f>0.8*C21*1.1</f>
        <v>3.5200000000000005</v>
      </c>
      <c r="E21" s="27">
        <f t="shared" si="0"/>
        <v>2.5410000000000004</v>
      </c>
      <c r="F21" s="22">
        <v>25</v>
      </c>
      <c r="G21" s="22">
        <v>4</v>
      </c>
      <c r="H21" s="27">
        <f t="shared" ref="H21:H26" si="3">4.4*C21*1.1</f>
        <v>19.360000000000003</v>
      </c>
      <c r="I21" s="27">
        <f t="shared" si="1"/>
        <v>0.79200000000000004</v>
      </c>
      <c r="J21" s="30">
        <f t="shared" si="2"/>
        <v>8.8000000000000007</v>
      </c>
      <c r="K21" s="6"/>
    </row>
    <row r="22" spans="1:11">
      <c r="A22" s="19" t="s">
        <v>17</v>
      </c>
      <c r="B22" s="5" t="s">
        <v>56</v>
      </c>
      <c r="C22" s="24">
        <v>4.2</v>
      </c>
      <c r="D22" s="26">
        <f>0.9*C22*1.1</f>
        <v>4.1580000000000004</v>
      </c>
      <c r="E22" s="27">
        <f t="shared" si="0"/>
        <v>2.5410000000000004</v>
      </c>
      <c r="F22" s="22">
        <v>24</v>
      </c>
      <c r="G22" s="22">
        <v>4</v>
      </c>
      <c r="H22" s="27">
        <f t="shared" si="3"/>
        <v>20.328000000000007</v>
      </c>
      <c r="I22" s="27">
        <f t="shared" si="1"/>
        <v>0.83160000000000012</v>
      </c>
      <c r="J22" s="30">
        <f t="shared" si="2"/>
        <v>9.240000000000002</v>
      </c>
      <c r="K22" s="6"/>
    </row>
    <row r="23" spans="1:11">
      <c r="A23" s="19" t="s">
        <v>18</v>
      </c>
      <c r="B23" s="5" t="s">
        <v>56</v>
      </c>
      <c r="C23" s="24">
        <v>4</v>
      </c>
      <c r="D23" s="26">
        <f>0.86*C23*1.1</f>
        <v>3.7840000000000003</v>
      </c>
      <c r="E23" s="27">
        <f t="shared" si="0"/>
        <v>2.5410000000000004</v>
      </c>
      <c r="F23" s="22">
        <v>24</v>
      </c>
      <c r="G23" s="22">
        <v>4</v>
      </c>
      <c r="H23" s="27">
        <f t="shared" si="3"/>
        <v>19.360000000000003</v>
      </c>
      <c r="I23" s="27">
        <f t="shared" si="1"/>
        <v>0.79200000000000004</v>
      </c>
      <c r="J23" s="30">
        <f t="shared" si="2"/>
        <v>8.8000000000000007</v>
      </c>
      <c r="K23" s="6"/>
    </row>
    <row r="24" spans="1:11">
      <c r="A24" s="19" t="s">
        <v>19</v>
      </c>
      <c r="B24" s="5" t="s">
        <v>57</v>
      </c>
      <c r="C24" s="24">
        <v>4.5</v>
      </c>
      <c r="D24" s="26">
        <f>0.89*C24*1.1</f>
        <v>4.4055</v>
      </c>
      <c r="E24" s="27">
        <f t="shared" si="0"/>
        <v>2.5410000000000004</v>
      </c>
      <c r="F24" s="22">
        <v>24</v>
      </c>
      <c r="G24" s="22">
        <v>4</v>
      </c>
      <c r="H24" s="27">
        <f t="shared" si="3"/>
        <v>21.78</v>
      </c>
      <c r="I24" s="27">
        <f t="shared" si="1"/>
        <v>0.89100000000000001</v>
      </c>
      <c r="J24" s="30">
        <f t="shared" si="2"/>
        <v>9.9</v>
      </c>
      <c r="K24" s="6"/>
    </row>
    <row r="25" spans="1:11">
      <c r="A25" s="19" t="s">
        <v>20</v>
      </c>
      <c r="B25" s="5" t="s">
        <v>57</v>
      </c>
      <c r="C25" s="24">
        <v>4.2</v>
      </c>
      <c r="D25" s="26">
        <f>1*C25*1.1</f>
        <v>4.620000000000001</v>
      </c>
      <c r="E25" s="27">
        <f t="shared" si="0"/>
        <v>2.5410000000000004</v>
      </c>
      <c r="F25" s="22">
        <v>24</v>
      </c>
      <c r="G25" s="22">
        <v>5</v>
      </c>
      <c r="H25" s="27">
        <f t="shared" si="3"/>
        <v>20.328000000000007</v>
      </c>
      <c r="I25" s="27">
        <f t="shared" si="1"/>
        <v>0.83160000000000012</v>
      </c>
      <c r="J25" s="30">
        <f t="shared" si="2"/>
        <v>9.240000000000002</v>
      </c>
      <c r="K25" s="6"/>
    </row>
    <row r="26" spans="1:11">
      <c r="A26" s="19" t="s">
        <v>22</v>
      </c>
      <c r="B26" s="5" t="s">
        <v>57</v>
      </c>
      <c r="C26" s="24">
        <v>4</v>
      </c>
      <c r="D26" s="26">
        <f>0.84*C26*1.1</f>
        <v>3.6960000000000002</v>
      </c>
      <c r="E26" s="27">
        <f t="shared" si="0"/>
        <v>2.5410000000000004</v>
      </c>
      <c r="F26" s="22">
        <v>24</v>
      </c>
      <c r="G26" s="22">
        <v>4</v>
      </c>
      <c r="H26" s="27">
        <f t="shared" si="3"/>
        <v>19.360000000000003</v>
      </c>
      <c r="I26" s="27">
        <f t="shared" si="1"/>
        <v>0.79200000000000004</v>
      </c>
      <c r="J26" s="30">
        <f t="shared" si="2"/>
        <v>8.8000000000000007</v>
      </c>
      <c r="K26" s="6"/>
    </row>
    <row r="27" spans="1:11">
      <c r="A27" s="19" t="s">
        <v>21</v>
      </c>
      <c r="B27" s="5" t="s">
        <v>57</v>
      </c>
      <c r="C27" s="24">
        <v>4.5</v>
      </c>
      <c r="D27" s="26">
        <f>1.21*C27*1.1</f>
        <v>5.9895000000000005</v>
      </c>
      <c r="E27" s="27">
        <f t="shared" si="0"/>
        <v>2.5410000000000004</v>
      </c>
      <c r="F27" s="22">
        <v>24</v>
      </c>
      <c r="G27" s="22">
        <v>7</v>
      </c>
      <c r="H27" s="27">
        <f>4.6*C27*1.1</f>
        <v>22.77</v>
      </c>
      <c r="I27" s="27">
        <f t="shared" si="1"/>
        <v>0.89100000000000001</v>
      </c>
      <c r="J27" s="30">
        <f t="shared" si="2"/>
        <v>9.9</v>
      </c>
      <c r="K27" s="6"/>
    </row>
    <row r="28" spans="1:11">
      <c r="A28" s="19" t="s">
        <v>48</v>
      </c>
      <c r="B28" s="8" t="s">
        <v>58</v>
      </c>
      <c r="C28" s="24">
        <v>4</v>
      </c>
      <c r="D28" s="26">
        <f>0.8*C28*1.1</f>
        <v>3.5200000000000005</v>
      </c>
      <c r="E28" s="27">
        <f t="shared" si="0"/>
        <v>2.5410000000000004</v>
      </c>
      <c r="F28" s="22">
        <v>24</v>
      </c>
      <c r="G28" s="22">
        <v>4</v>
      </c>
      <c r="H28" s="27">
        <f>4.5*C28*1.1</f>
        <v>19.8</v>
      </c>
      <c r="I28" s="27">
        <f t="shared" si="1"/>
        <v>0.79200000000000004</v>
      </c>
      <c r="J28" s="30">
        <f t="shared" si="2"/>
        <v>8.8000000000000007</v>
      </c>
      <c r="K28" s="6"/>
    </row>
    <row r="29" spans="1:11">
      <c r="A29" s="19" t="s">
        <v>47</v>
      </c>
      <c r="B29" s="8" t="s">
        <v>58</v>
      </c>
      <c r="C29" s="24">
        <v>4.5</v>
      </c>
      <c r="D29" s="26">
        <f>1*C29*1.1</f>
        <v>4.95</v>
      </c>
      <c r="E29" s="27">
        <f t="shared" si="0"/>
        <v>2.5410000000000004</v>
      </c>
      <c r="F29" s="22">
        <v>24</v>
      </c>
      <c r="G29" s="22">
        <v>5</v>
      </c>
      <c r="H29" s="27">
        <f>4.5*C29*1.1</f>
        <v>22.275000000000002</v>
      </c>
      <c r="I29" s="27">
        <f t="shared" si="1"/>
        <v>0.89100000000000001</v>
      </c>
      <c r="J29" s="30">
        <f t="shared" si="2"/>
        <v>9.9</v>
      </c>
      <c r="K29" s="6"/>
    </row>
    <row r="30" spans="1:11">
      <c r="A30" s="19" t="s">
        <v>46</v>
      </c>
      <c r="B30" s="8" t="s">
        <v>58</v>
      </c>
      <c r="C30" s="24">
        <v>4.5</v>
      </c>
      <c r="D30" s="26">
        <f>1.29*C30*1.1</f>
        <v>6.3855000000000004</v>
      </c>
      <c r="E30" s="27">
        <f t="shared" si="0"/>
        <v>2.5410000000000004</v>
      </c>
      <c r="F30" s="22">
        <v>24</v>
      </c>
      <c r="G30" s="22">
        <v>6</v>
      </c>
      <c r="H30" s="27">
        <f>4.5*C30*1.1</f>
        <v>22.275000000000002</v>
      </c>
      <c r="I30" s="27">
        <f t="shared" si="1"/>
        <v>0.89100000000000001</v>
      </c>
      <c r="J30" s="30">
        <f t="shared" si="2"/>
        <v>9.9</v>
      </c>
      <c r="K30" s="6"/>
    </row>
    <row r="31" spans="1:11">
      <c r="A31" s="19" t="s">
        <v>45</v>
      </c>
      <c r="B31" s="8" t="s">
        <v>58</v>
      </c>
      <c r="C31" s="24">
        <v>4.5</v>
      </c>
      <c r="D31" s="26">
        <f>1.15*C31*1.1</f>
        <v>5.6924999999999999</v>
      </c>
      <c r="E31" s="27">
        <f t="shared" si="0"/>
        <v>2.5410000000000004</v>
      </c>
      <c r="F31" s="22">
        <v>24</v>
      </c>
      <c r="G31" s="22">
        <v>6</v>
      </c>
      <c r="H31" s="27">
        <f>4.5*C31*1.1</f>
        <v>22.275000000000002</v>
      </c>
      <c r="I31" s="27">
        <f t="shared" si="1"/>
        <v>0.89100000000000001</v>
      </c>
      <c r="J31" s="30">
        <f t="shared" si="2"/>
        <v>9.9</v>
      </c>
      <c r="K31" s="6"/>
    </row>
    <row r="32" spans="1:11">
      <c r="A32" s="19" t="s">
        <v>44</v>
      </c>
      <c r="B32" s="8" t="s">
        <v>58</v>
      </c>
      <c r="C32" s="24">
        <v>4.5</v>
      </c>
      <c r="D32" s="26">
        <f>1*C32*1.1</f>
        <v>4.95</v>
      </c>
      <c r="E32" s="27">
        <f t="shared" si="0"/>
        <v>2.5410000000000004</v>
      </c>
      <c r="F32" s="22">
        <v>24</v>
      </c>
      <c r="G32" s="22">
        <v>6</v>
      </c>
      <c r="H32" s="27">
        <f t="shared" ref="H32:H43" si="4">4.5*C32*1.1</f>
        <v>22.275000000000002</v>
      </c>
      <c r="I32" s="27">
        <f t="shared" si="1"/>
        <v>0.89100000000000001</v>
      </c>
      <c r="J32" s="30">
        <f t="shared" si="2"/>
        <v>9.9</v>
      </c>
      <c r="K32" s="6"/>
    </row>
    <row r="33" spans="1:11">
      <c r="A33" s="19" t="s">
        <v>23</v>
      </c>
      <c r="B33" s="5" t="s">
        <v>57</v>
      </c>
      <c r="C33" s="24">
        <v>4.5</v>
      </c>
      <c r="D33" s="26">
        <f>1.61*C33*1.1</f>
        <v>7.9695000000000009</v>
      </c>
      <c r="E33" s="27">
        <f t="shared" si="0"/>
        <v>2.5410000000000004</v>
      </c>
      <c r="F33" s="22">
        <v>24</v>
      </c>
      <c r="G33" s="22">
        <v>6</v>
      </c>
      <c r="H33" s="27">
        <f>5.6*C33*1.1</f>
        <v>27.720000000000002</v>
      </c>
      <c r="I33" s="27">
        <f t="shared" si="1"/>
        <v>0.89100000000000001</v>
      </c>
      <c r="J33" s="30">
        <f t="shared" si="2"/>
        <v>9.9</v>
      </c>
      <c r="K33" s="6"/>
    </row>
    <row r="34" spans="1:11">
      <c r="A34" s="19" t="s">
        <v>24</v>
      </c>
      <c r="B34" s="5" t="s">
        <v>57</v>
      </c>
      <c r="C34" s="24">
        <v>4.7</v>
      </c>
      <c r="D34" s="26">
        <f>1.46*C34*1.1</f>
        <v>7.5482000000000005</v>
      </c>
      <c r="E34" s="27">
        <f t="shared" si="0"/>
        <v>2.5410000000000004</v>
      </c>
      <c r="F34" s="22">
        <v>24</v>
      </c>
      <c r="G34" s="22">
        <v>7</v>
      </c>
      <c r="H34" s="27">
        <f t="shared" si="4"/>
        <v>23.265000000000004</v>
      </c>
      <c r="I34" s="27">
        <f t="shared" si="1"/>
        <v>0.93060000000000009</v>
      </c>
      <c r="J34" s="30">
        <f t="shared" si="2"/>
        <v>10.340000000000002</v>
      </c>
      <c r="K34" s="6"/>
    </row>
    <row r="35" spans="1:11">
      <c r="A35" s="19" t="s">
        <v>25</v>
      </c>
      <c r="B35" s="5" t="s">
        <v>57</v>
      </c>
      <c r="C35" s="24">
        <v>4.5</v>
      </c>
      <c r="D35" s="26">
        <f>0.9*C35*1.1</f>
        <v>4.4550000000000001</v>
      </c>
      <c r="E35" s="27">
        <f t="shared" si="0"/>
        <v>2.5410000000000004</v>
      </c>
      <c r="F35" s="22">
        <v>24</v>
      </c>
      <c r="G35" s="22">
        <v>4</v>
      </c>
      <c r="H35" s="27">
        <f t="shared" si="4"/>
        <v>22.275000000000002</v>
      </c>
      <c r="I35" s="27">
        <f t="shared" si="1"/>
        <v>0.89100000000000001</v>
      </c>
      <c r="J35" s="30">
        <f t="shared" si="2"/>
        <v>9.9</v>
      </c>
      <c r="K35" s="6"/>
    </row>
    <row r="36" spans="1:11">
      <c r="A36" s="19" t="s">
        <v>26</v>
      </c>
      <c r="B36" s="5" t="s">
        <v>57</v>
      </c>
      <c r="C36" s="24">
        <v>4</v>
      </c>
      <c r="D36" s="26">
        <f>0.8*C36*1.1</f>
        <v>3.5200000000000005</v>
      </c>
      <c r="E36" s="27">
        <f t="shared" si="0"/>
        <v>2.5410000000000004</v>
      </c>
      <c r="F36" s="22">
        <v>24</v>
      </c>
      <c r="G36" s="22">
        <v>4</v>
      </c>
      <c r="H36" s="27">
        <f t="shared" si="4"/>
        <v>19.8</v>
      </c>
      <c r="I36" s="27">
        <f t="shared" si="1"/>
        <v>0.79200000000000004</v>
      </c>
      <c r="J36" s="30">
        <f t="shared" si="2"/>
        <v>8.8000000000000007</v>
      </c>
      <c r="K36" s="6"/>
    </row>
    <row r="37" spans="1:11">
      <c r="A37" s="19" t="s">
        <v>27</v>
      </c>
      <c r="B37" s="5" t="s">
        <v>57</v>
      </c>
      <c r="C37" s="24">
        <v>7</v>
      </c>
      <c r="D37" s="26">
        <f>4.92*C37*1.1</f>
        <v>37.884</v>
      </c>
      <c r="E37" s="27">
        <f t="shared" si="0"/>
        <v>2.5410000000000004</v>
      </c>
      <c r="F37" s="22">
        <v>35</v>
      </c>
      <c r="G37" s="22">
        <v>12</v>
      </c>
      <c r="H37" s="27">
        <f>5.5*C37*1.1</f>
        <v>42.35</v>
      </c>
      <c r="I37" s="27">
        <f t="shared" si="1"/>
        <v>1.3860000000000001</v>
      </c>
      <c r="J37" s="30">
        <f t="shared" si="2"/>
        <v>15.400000000000002</v>
      </c>
      <c r="K37" s="6"/>
    </row>
    <row r="38" spans="1:11">
      <c r="A38" s="19" t="s">
        <v>28</v>
      </c>
      <c r="B38" s="5" t="s">
        <v>57</v>
      </c>
      <c r="C38" s="24">
        <v>5.5</v>
      </c>
      <c r="D38" s="26">
        <f>2.69*C38*1.1</f>
        <v>16.2745</v>
      </c>
      <c r="E38" s="27">
        <f t="shared" si="0"/>
        <v>2.5410000000000004</v>
      </c>
      <c r="F38" s="22">
        <v>27</v>
      </c>
      <c r="G38" s="22">
        <v>10</v>
      </c>
      <c r="H38" s="27">
        <f t="shared" si="4"/>
        <v>27.225000000000001</v>
      </c>
      <c r="I38" s="27">
        <f t="shared" si="1"/>
        <v>1.089</v>
      </c>
      <c r="J38" s="30">
        <f t="shared" si="2"/>
        <v>12.100000000000001</v>
      </c>
      <c r="K38" s="6"/>
    </row>
    <row r="39" spans="1:11">
      <c r="A39" s="19" t="s">
        <v>29</v>
      </c>
      <c r="B39" s="5" t="s">
        <v>57</v>
      </c>
      <c r="C39" s="24">
        <v>4.5</v>
      </c>
      <c r="D39" s="26">
        <f>1*C39*1.1</f>
        <v>4.95</v>
      </c>
      <c r="E39" s="27">
        <f t="shared" si="0"/>
        <v>2.5410000000000004</v>
      </c>
      <c r="F39" s="22">
        <v>24</v>
      </c>
      <c r="G39" s="22">
        <v>6</v>
      </c>
      <c r="H39" s="27">
        <f t="shared" si="4"/>
        <v>22.275000000000002</v>
      </c>
      <c r="I39" s="27">
        <f t="shared" si="1"/>
        <v>0.89100000000000001</v>
      </c>
      <c r="J39" s="30">
        <f t="shared" si="2"/>
        <v>9.9</v>
      </c>
      <c r="K39" s="6"/>
    </row>
    <row r="40" spans="1:11">
      <c r="A40" s="19" t="s">
        <v>30</v>
      </c>
      <c r="B40" s="5" t="s">
        <v>57</v>
      </c>
      <c r="C40" s="24">
        <v>4.5</v>
      </c>
      <c r="D40" s="26">
        <f>1*C40*1.1</f>
        <v>4.95</v>
      </c>
      <c r="E40" s="27">
        <f t="shared" si="0"/>
        <v>2.5410000000000004</v>
      </c>
      <c r="F40" s="22">
        <v>24</v>
      </c>
      <c r="G40" s="22">
        <v>6</v>
      </c>
      <c r="H40" s="27">
        <f t="shared" si="4"/>
        <v>22.275000000000002</v>
      </c>
      <c r="I40" s="27">
        <f t="shared" si="1"/>
        <v>0.89100000000000001</v>
      </c>
      <c r="J40" s="30">
        <f t="shared" si="2"/>
        <v>9.9</v>
      </c>
      <c r="K40" s="6"/>
    </row>
    <row r="41" spans="1:11">
      <c r="A41" s="19" t="s">
        <v>31</v>
      </c>
      <c r="B41" s="5" t="s">
        <v>56</v>
      </c>
      <c r="C41" s="24">
        <v>4.5</v>
      </c>
      <c r="D41" s="26">
        <f>16.8*C41*1.1</f>
        <v>83.160000000000011</v>
      </c>
      <c r="E41" s="27">
        <f t="shared" si="0"/>
        <v>2.5410000000000004</v>
      </c>
      <c r="F41" s="22"/>
      <c r="G41" s="22">
        <v>8</v>
      </c>
      <c r="H41" s="27">
        <f>21*C41*1.1</f>
        <v>103.95</v>
      </c>
      <c r="I41" s="27">
        <f t="shared" si="1"/>
        <v>0.89100000000000001</v>
      </c>
      <c r="J41" s="30">
        <f t="shared" si="2"/>
        <v>9.9</v>
      </c>
      <c r="K41" s="6"/>
    </row>
    <row r="42" spans="1:11">
      <c r="A42" s="19" t="s">
        <v>32</v>
      </c>
      <c r="B42" s="5" t="s">
        <v>56</v>
      </c>
      <c r="C42" s="24">
        <v>7</v>
      </c>
      <c r="D42" s="26">
        <f>5.1*C42*1.1</f>
        <v>39.269999999999996</v>
      </c>
      <c r="E42" s="27">
        <f t="shared" si="0"/>
        <v>2.5410000000000004</v>
      </c>
      <c r="F42" s="22">
        <v>26</v>
      </c>
      <c r="G42" s="22">
        <v>10</v>
      </c>
      <c r="H42" s="27">
        <f>4.6*C42*1.1</f>
        <v>35.42</v>
      </c>
      <c r="I42" s="27">
        <f t="shared" si="1"/>
        <v>1.3860000000000001</v>
      </c>
      <c r="J42" s="30">
        <f t="shared" si="2"/>
        <v>15.400000000000002</v>
      </c>
      <c r="K42" s="6"/>
    </row>
    <row r="43" spans="1:11">
      <c r="A43" s="19" t="s">
        <v>33</v>
      </c>
      <c r="B43" s="5" t="s">
        <v>56</v>
      </c>
      <c r="C43" s="24">
        <v>4</v>
      </c>
      <c r="D43" s="26">
        <f>0.85*C43*1.1</f>
        <v>3.74</v>
      </c>
      <c r="E43" s="27">
        <f t="shared" si="0"/>
        <v>2.5410000000000004</v>
      </c>
      <c r="F43" s="22">
        <v>24</v>
      </c>
      <c r="G43" s="22">
        <v>5</v>
      </c>
      <c r="H43" s="27">
        <f t="shared" si="4"/>
        <v>19.8</v>
      </c>
      <c r="I43" s="27">
        <f t="shared" si="1"/>
        <v>0.79200000000000004</v>
      </c>
      <c r="J43" s="30">
        <f t="shared" si="2"/>
        <v>8.8000000000000007</v>
      </c>
      <c r="K43" s="6"/>
    </row>
    <row r="44" spans="1:11" ht="15" thickBot="1">
      <c r="A44" s="20" t="s">
        <v>34</v>
      </c>
      <c r="B44" s="21" t="s">
        <v>56</v>
      </c>
      <c r="C44" s="25">
        <v>4.5</v>
      </c>
      <c r="D44" s="26">
        <f>1.55*C44*1.1</f>
        <v>7.6725000000000012</v>
      </c>
      <c r="E44" s="27">
        <f t="shared" si="0"/>
        <v>2.5410000000000004</v>
      </c>
      <c r="F44" s="23">
        <v>45</v>
      </c>
      <c r="G44" s="23">
        <v>6</v>
      </c>
      <c r="H44" s="27">
        <f>6*C44*1.1</f>
        <v>29.700000000000003</v>
      </c>
      <c r="I44" s="27">
        <f t="shared" si="1"/>
        <v>0.89100000000000001</v>
      </c>
      <c r="J44" s="30">
        <f t="shared" si="2"/>
        <v>9.9</v>
      </c>
      <c r="K44" s="6"/>
    </row>
    <row r="45" spans="1:11" ht="15.75" thickBot="1">
      <c r="A45" s="34" t="s">
        <v>54</v>
      </c>
      <c r="B45" s="35"/>
      <c r="C45" s="31">
        <f>SUM(C9:C44)</f>
        <v>167</v>
      </c>
      <c r="D45" s="31">
        <f t="shared" ref="D45:J45" si="5">SUM(D9:D44)</f>
        <v>372.24550000000005</v>
      </c>
      <c r="E45" s="31">
        <f t="shared" si="5"/>
        <v>91.475999999999928</v>
      </c>
      <c r="F45" s="31">
        <f>SUM(F9:F44)</f>
        <v>908</v>
      </c>
      <c r="G45" s="31">
        <f t="shared" si="5"/>
        <v>222</v>
      </c>
      <c r="H45" s="31">
        <f t="shared" si="5"/>
        <v>945.54899999999998</v>
      </c>
      <c r="I45" s="31">
        <f t="shared" si="5"/>
        <v>33.065999999999981</v>
      </c>
      <c r="J45" s="31">
        <f t="shared" si="5"/>
        <v>367.4</v>
      </c>
    </row>
  </sheetData>
  <customSheetViews>
    <customSheetView guid="{DFD46085-7CA0-4148-BC6E-BB530038F726}" showPageBreaks="1" view="pageBreakPreview" topLeftCell="A13">
      <selection activeCell="O39" sqref="O39"/>
      <pageMargins left="0.7" right="0.7" top="0.75" bottom="0.75" header="0.3" footer="0.3"/>
      <pageSetup paperSize="9" orientation="portrait" verticalDpi="0" r:id="rId1"/>
    </customSheetView>
    <customSheetView guid="{D77CCF3B-D797-41D0-B6E1-DD959026208A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2"/>
    </customSheetView>
    <customSheetView guid="{5E068C25-D435-46DE-A64A-D205E9289932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3"/>
    </customSheetView>
  </customSheetViews>
  <mergeCells count="8">
    <mergeCell ref="J6:J7"/>
    <mergeCell ref="A45:B45"/>
    <mergeCell ref="B6:B7"/>
    <mergeCell ref="E6:E7"/>
    <mergeCell ref="F6:F7"/>
    <mergeCell ref="G6:G7"/>
    <mergeCell ref="H6:H7"/>
    <mergeCell ref="I6:I7"/>
  </mergeCells>
  <phoneticPr fontId="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 ofertowy</vt:lpstr>
      <vt:lpstr>&lt;--przepusty</vt:lpstr>
      <vt:lpstr>'Kosztorys ofertowy'!Obszar_wydruku</vt:lpstr>
      <vt:lpstr>'Kosztorys ofertowy'!Tytuły_wydruku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Robert Bębenek</cp:lastModifiedBy>
  <cp:lastPrinted>2020-09-03T08:57:40Z</cp:lastPrinted>
  <dcterms:created xsi:type="dcterms:W3CDTF">2010-07-09T16:08:03Z</dcterms:created>
  <dcterms:modified xsi:type="dcterms:W3CDTF">2020-09-03T08:57:45Z</dcterms:modified>
</cp:coreProperties>
</file>