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0" yWindow="75" windowWidth="13905" windowHeight="12720" tabRatio="803" activeTab="1"/>
  </bookViews>
  <sheets>
    <sheet name="PRZEDMIAR" sheetId="1" r:id="rId1"/>
    <sheet name="KOSZTORYS INWESTORSKI " sheetId="2" r:id="rId2"/>
    <sheet name="&lt;--przepusty" sheetId="3" state="hidden" r:id="rId3"/>
  </sheets>
  <definedNames>
    <definedName name="_od1" localSheetId="1">#REF!</definedName>
    <definedName name="_od1">#REF!</definedName>
    <definedName name="_od2" localSheetId="1">#REF!</definedName>
    <definedName name="_od2">#REF!</definedName>
    <definedName name="_od3" localSheetId="1">#REF!</definedName>
    <definedName name="_od3">#REF!</definedName>
    <definedName name="_od4" localSheetId="1">#REF!</definedName>
    <definedName name="_od4">#REF!</definedName>
    <definedName name="_ods1" localSheetId="1">#REF!</definedName>
    <definedName name="_ods1">#REF!</definedName>
    <definedName name="_ods2" localSheetId="1">#REF!</definedName>
    <definedName name="_ods2">#REF!</definedName>
    <definedName name="_ods3" localSheetId="1">#REF!</definedName>
    <definedName name="_ods3">#REF!</definedName>
    <definedName name="_ods4" localSheetId="1">#REF!</definedName>
    <definedName name="_ods4">#REF!</definedName>
    <definedName name="_xlnm.Print_Area" localSheetId="1">'KOSZTORYS INWESTORSKI '!$A$1:$G$31</definedName>
    <definedName name="_xlnm.Print_Area" localSheetId="0">'PRZEDMIAR'!$A$3:$E$28</definedName>
    <definedName name="posz1" localSheetId="1">#REF!</definedName>
    <definedName name="posz1">#REF!</definedName>
    <definedName name="posz2" localSheetId="1">#REF!</definedName>
    <definedName name="posz2">#REF!</definedName>
    <definedName name="posz3" localSheetId="1">#REF!</definedName>
    <definedName name="posz3">#REF!</definedName>
    <definedName name="_xlnm.Print_Titles" localSheetId="0">'PRZEDMIAR'!$5:$6</definedName>
    <definedName name="Z_5E068C25_D435_46DE_A64A_D205E9289932_.wvu.PrintArea" localSheetId="2" hidden="1">'&lt;--przepusty'!$A$1:$J$45</definedName>
    <definedName name="Z_D77CCF3B_D797_41D0_B6E1_DD959026208A_.wvu.PrintArea" localSheetId="2" hidden="1">'&lt;--przepusty'!$A$1:$J$45</definedName>
  </definedNames>
  <calcPr fullCalcOnLoad="1" fullPrecision="0"/>
</workbook>
</file>

<file path=xl/sharedStrings.xml><?xml version="1.0" encoding="utf-8"?>
<sst xmlns="http://schemas.openxmlformats.org/spreadsheetml/2006/main" count="185" uniqueCount="120">
  <si>
    <t>Wykaz  - 18</t>
  </si>
  <si>
    <t>WYKAZ ROBÓT PRZY BUDOWIE PRZEPUSTÓW POD PRZEJŚCIAMI AWARYJNYMI</t>
  </si>
  <si>
    <t>Autostrada A2 odcinek D1, km 431+500.00 - km 441+143.53</t>
  </si>
  <si>
    <t>km autostrady A2</t>
  </si>
  <si>
    <t xml:space="preserve">432+846.00 </t>
  </si>
  <si>
    <t xml:space="preserve">433+021.00 </t>
  </si>
  <si>
    <t xml:space="preserve">433+233.00 </t>
  </si>
  <si>
    <t xml:space="preserve">433+416.00 </t>
  </si>
  <si>
    <t xml:space="preserve">433+675.00 </t>
  </si>
  <si>
    <t xml:space="preserve">433+855.00 </t>
  </si>
  <si>
    <t xml:space="preserve">434+030.00 </t>
  </si>
  <si>
    <t xml:space="preserve">434+993.00 </t>
  </si>
  <si>
    <t xml:space="preserve">435+186.00 </t>
  </si>
  <si>
    <t xml:space="preserve">435+379.00 </t>
  </si>
  <si>
    <t xml:space="preserve">435+572.00 </t>
  </si>
  <si>
    <t xml:space="preserve">435+765.00 </t>
  </si>
  <si>
    <t xml:space="preserve">435+958.00 </t>
  </si>
  <si>
    <t xml:space="preserve">436+350.00 </t>
  </si>
  <si>
    <t xml:space="preserve">436+550.00 </t>
  </si>
  <si>
    <t xml:space="preserve">436+600.00 </t>
  </si>
  <si>
    <t xml:space="preserve">436+800.00 </t>
  </si>
  <si>
    <t xml:space="preserve">438+409.00 </t>
  </si>
  <si>
    <t xml:space="preserve">438+225.00 </t>
  </si>
  <si>
    <t xml:space="preserve">439+016.00 </t>
  </si>
  <si>
    <t xml:space="preserve">439+216.00 </t>
  </si>
  <si>
    <t xml:space="preserve">439+402.00 </t>
  </si>
  <si>
    <t xml:space="preserve">439+592.00 </t>
  </si>
  <si>
    <t xml:space="preserve">439+774.00 </t>
  </si>
  <si>
    <t xml:space="preserve">439+960.00 </t>
  </si>
  <si>
    <t xml:space="preserve">440+146.00 </t>
  </si>
  <si>
    <t xml:space="preserve">440+300.00 </t>
  </si>
  <si>
    <t xml:space="preserve">440+512.00 </t>
  </si>
  <si>
    <t xml:space="preserve">440+712.00 </t>
  </si>
  <si>
    <t xml:space="preserve">440+912.00 </t>
  </si>
  <si>
    <t xml:space="preserve">441+112.00 </t>
  </si>
  <si>
    <t>Długość rury stalowej</t>
  </si>
  <si>
    <t>DN 500</t>
  </si>
  <si>
    <t>Nasyp</t>
  </si>
  <si>
    <t>Umocnienie brukiem na podbud. z piasku stab. cement. czoła przepustu</t>
  </si>
  <si>
    <t>Umocnienie brukiem na podbud. z piasku stab. cement. wlotu i wylotu przepustu</t>
  </si>
  <si>
    <t>Umocnienie darniną</t>
  </si>
  <si>
    <t>Geotkanina polipropylenowa</t>
  </si>
  <si>
    <t>Geowłóknina polipropylenowa</t>
  </si>
  <si>
    <t>Mieszanka żwir.-piask.   0-32mm</t>
  </si>
  <si>
    <t>0+638.00 DL 2</t>
  </si>
  <si>
    <t>0+484.40 DL 2</t>
  </si>
  <si>
    <t>0+326.40 DL 2</t>
  </si>
  <si>
    <t>0+039.00 DL 1</t>
  </si>
  <si>
    <t>0+235.00 DL 1</t>
  </si>
  <si>
    <t>km</t>
  </si>
  <si>
    <t>m2</t>
  </si>
  <si>
    <t>m3</t>
  </si>
  <si>
    <t>Materac z kruszywa naturalnego</t>
  </si>
  <si>
    <t>SUMA:</t>
  </si>
  <si>
    <t>Lokalizacja</t>
  </si>
  <si>
    <t>L</t>
  </si>
  <si>
    <t>P</t>
  </si>
  <si>
    <t>__</t>
  </si>
  <si>
    <t>mb</t>
  </si>
  <si>
    <t>Strona</t>
  </si>
  <si>
    <t>PRZEDMIAR ROBÓT
Zestawienie zbiorcze</t>
  </si>
  <si>
    <t>L.p.</t>
  </si>
  <si>
    <t>Nr Specyfikacji Technicznej</t>
  </si>
  <si>
    <t>Rodzaj robót</t>
  </si>
  <si>
    <t>jednostka</t>
  </si>
  <si>
    <t>ilość</t>
  </si>
  <si>
    <t>D.01.00.00</t>
  </si>
  <si>
    <t xml:space="preserve"> ROBOTY PRZYGOTOWAWCZE</t>
  </si>
  <si>
    <t>D.01.01.01</t>
  </si>
  <si>
    <r>
      <t>m</t>
    </r>
    <r>
      <rPr>
        <vertAlign val="superscript"/>
        <sz val="10"/>
        <rFont val="Arial"/>
        <family val="2"/>
      </rPr>
      <t>2</t>
    </r>
  </si>
  <si>
    <t>PODBUDOWY</t>
  </si>
  <si>
    <t>D.05.00.00</t>
  </si>
  <si>
    <t>NAWIERZCHNIE</t>
  </si>
  <si>
    <t>D.04.01.01</t>
  </si>
  <si>
    <t>Koryto wraz z profilowaniem i zagęszczeniem podłoża</t>
  </si>
  <si>
    <t>Wyszczególnienie elementów rozliczeniowych</t>
  </si>
  <si>
    <t>nazwa</t>
  </si>
  <si>
    <t>Jednostka</t>
  </si>
  <si>
    <t>Cena jednostkowa [PLN]</t>
  </si>
  <si>
    <t>Wartość [PLN]</t>
  </si>
  <si>
    <t>szt</t>
  </si>
  <si>
    <t>D.04.00.00</t>
  </si>
  <si>
    <t>D.04.04.02</t>
  </si>
  <si>
    <r>
      <t>m</t>
    </r>
    <r>
      <rPr>
        <sz val="10"/>
        <rFont val="Calibri"/>
        <family val="2"/>
      </rPr>
      <t>³</t>
    </r>
  </si>
  <si>
    <t>Oczyszczenie i skropienie warstw konstrukcyjnych</t>
  </si>
  <si>
    <t>D.04.03.01</t>
  </si>
  <si>
    <t>Podbudowa z kruszyw stabilizowanych mechanicznie</t>
  </si>
  <si>
    <t>Odtworzenie trasy i punktów wysokościowych</t>
  </si>
  <si>
    <t>Nawierzchnie z betonu asfaltowego</t>
  </si>
  <si>
    <t>D.01.02.02</t>
  </si>
  <si>
    <t>Zdjęcie warstwy humusu</t>
  </si>
  <si>
    <t>`</t>
  </si>
  <si>
    <t>D.05.03.05A</t>
  </si>
  <si>
    <t>Zdjęcie warstwy ziemi urodzajnej (humusu) o grubosci warstwy do 10 cm do póżniejszego wykorzystania</t>
  </si>
  <si>
    <t xml:space="preserve">Mechaniczne skropienie warstw konstrukcyjnych nieulepszonych emulsją asfaltową </t>
  </si>
  <si>
    <t>D.07.00.00</t>
  </si>
  <si>
    <t>URZĄDZENIA BEZPIECZEŃSTWA RUCHU</t>
  </si>
  <si>
    <t>D.07.02.01</t>
  </si>
  <si>
    <t>Oznakowanie Pionowe</t>
  </si>
  <si>
    <t>Ustawienie słupków z rur stalowych ø70 dla znaków drogowych, wraz z wykopaniem i zasypaniem dołów z ubiciem warstwami</t>
  </si>
  <si>
    <t>Przymocowanie do gotowych słupków znaków nakazu typu C średnie folia II generacji</t>
  </si>
  <si>
    <t>Koryto wykonane na całej szerokości chodników mechanicznie w gruncie kat. II-IV, głębokość koryta 20cm</t>
  </si>
  <si>
    <t xml:space="preserve">BUDOWA ŚCIEZKI ROWEROWEJ  W JASZOWICACH PRZY DRODZE POWIATOWEJ 3503W - </t>
  </si>
  <si>
    <t>766</t>
  </si>
  <si>
    <t>ELEMENTY ULIC I DRÓG</t>
  </si>
  <si>
    <t>D.08.00.00</t>
  </si>
  <si>
    <t>Krawężniki betonowe na ławie betonowej</t>
  </si>
  <si>
    <t>D.08.01.01</t>
  </si>
  <si>
    <t>Ustawienie krawężników betonowych wtopionych 12x25cm wraz z wykonaniem ławy betonowej z oporem C12/15</t>
  </si>
  <si>
    <t>m</t>
  </si>
  <si>
    <t>Wykonanie warstwy ścieralnej z mieszanki mineralno-asfaltowej AC 5 S,
grubość warstwy 4 cm</t>
  </si>
  <si>
    <t>RAZEM KOSZT ROBÓT DROGOWYCH z podatkiem VAT = 23%</t>
  </si>
  <si>
    <t>Wykonanie podbudowy z kruszywa łamanego stabilizowanego mechanicznie, grubość warstwy po zagęszczeniu 15 cm</t>
  </si>
  <si>
    <t>Wykonanie podbudowy z kruszywa łamanego stabilizowanego mechanicznie grubość warstwy po zagęszczeniu 15 cm</t>
  </si>
  <si>
    <t>Formularz 2.2. do SIWZ</t>
  </si>
  <si>
    <t>KOSZTORYS OFERTOWY</t>
  </si>
  <si>
    <t>RAZEM KOSZT ROBÓT DROGOWYCH NETTO</t>
  </si>
  <si>
    <t>PODATEK VAT</t>
  </si>
  <si>
    <t>Odtworzenie trasy i punktów wysokościowych przy liniowych robotach ziemnych (drogi) w terenie równinnym wraz z inwentaryzacją powykonawczą</t>
  </si>
  <si>
    <t>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</si>
</sst>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+000"/>
    <numFmt numFmtId="165" formatCode="0.0"/>
    <numFmt numFmtId="166" formatCode="0.000"/>
  </numFmts>
  <fonts count="58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sz val="10"/>
      <name val="PL Courier New"/>
      <family val="0"/>
    </font>
    <font>
      <b/>
      <sz val="10"/>
      <name val="Arial CE"/>
      <family val="2"/>
    </font>
    <font>
      <b/>
      <sz val="10"/>
      <name val="Arial"/>
      <family val="2"/>
    </font>
    <font>
      <sz val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0"/>
      <name val="MS Sans Serif"/>
      <family val="2"/>
    </font>
    <font>
      <vertAlign val="superscript"/>
      <sz val="10"/>
      <name val="Arial"/>
      <family val="2"/>
    </font>
    <font>
      <sz val="10"/>
      <name val="PL Times New Roman"/>
      <family val="0"/>
    </font>
    <font>
      <b/>
      <sz val="12"/>
      <name val="Arial"/>
      <family val="2"/>
    </font>
    <font>
      <sz val="10"/>
      <name val="Calibri"/>
      <family val="2"/>
    </font>
    <font>
      <b/>
      <sz val="12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hair"/>
      <top style="thin"/>
      <bottom style="thin"/>
    </border>
    <border>
      <left style="medium"/>
      <right/>
      <top/>
      <bottom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hair"/>
      <right style="hair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medium"/>
      <bottom style="thin"/>
    </border>
  </borders>
  <cellStyleXfs count="8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26" borderId="1" applyNumberFormat="0" applyAlignment="0" applyProtection="0"/>
    <xf numFmtId="0" fontId="5" fillId="0" borderId="8" applyNumberFormat="0" applyFont="0" applyFill="0" applyBorder="0" applyProtection="0">
      <alignment vertical="top" wrapText="1"/>
    </xf>
    <xf numFmtId="9" fontId="2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30" borderId="10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1" fontId="6" fillId="0" borderId="0" xfId="71" applyNumberFormat="1" applyFont="1" applyAlignment="1">
      <alignment horizontal="right" vertical="center"/>
      <protection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7" fillId="0" borderId="15" xfId="70" applyFont="1" applyFill="1" applyBorder="1" applyAlignment="1">
      <alignment horizontal="center" vertical="center" wrapText="1"/>
      <protection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7" fillId="0" borderId="18" xfId="70" applyFont="1" applyFill="1" applyBorder="1" applyAlignment="1">
      <alignment horizontal="center" vertical="center" wrapText="1"/>
      <protection/>
    </xf>
    <xf numFmtId="0" fontId="15" fillId="0" borderId="19" xfId="0" applyFont="1" applyBorder="1" applyAlignment="1">
      <alignment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164" fontId="3" fillId="0" borderId="21" xfId="70" applyNumberFormat="1" applyFont="1" applyBorder="1" applyAlignment="1">
      <alignment horizontal="center" vertical="center"/>
      <protection/>
    </xf>
    <xf numFmtId="164" fontId="3" fillId="0" borderId="15" xfId="70" applyNumberFormat="1" applyFont="1" applyBorder="1" applyAlignment="1">
      <alignment horizontal="center" vertical="center"/>
      <protection/>
    </xf>
    <xf numFmtId="0" fontId="12" fillId="0" borderId="17" xfId="0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165" fontId="12" fillId="0" borderId="17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64" fontId="3" fillId="0" borderId="23" xfId="70" applyNumberFormat="1" applyFont="1" applyBorder="1" applyAlignment="1">
      <alignment horizontal="center" vertical="center"/>
      <protection/>
    </xf>
    <xf numFmtId="165" fontId="12" fillId="0" borderId="12" xfId="0" applyNumberFormat="1" applyFont="1" applyBorder="1" applyAlignment="1">
      <alignment horizontal="center" vertical="center"/>
    </xf>
    <xf numFmtId="1" fontId="12" fillId="0" borderId="24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49" fontId="7" fillId="32" borderId="14" xfId="69" applyNumberFormat="1" applyFont="1" applyFill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7" fillId="33" borderId="11" xfId="69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1" fontId="7" fillId="32" borderId="27" xfId="0" applyNumberFormat="1" applyFont="1" applyFill="1" applyBorder="1" applyAlignment="1">
      <alignment horizontal="center" vertical="center"/>
    </xf>
    <xf numFmtId="1" fontId="7" fillId="33" borderId="28" xfId="0" applyNumberFormat="1" applyFont="1" applyFill="1" applyBorder="1" applyAlignment="1">
      <alignment horizontal="center" vertical="center" wrapText="1"/>
    </xf>
    <xf numFmtId="49" fontId="7" fillId="33" borderId="28" xfId="0" applyNumberFormat="1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/>
    </xf>
    <xf numFmtId="1" fontId="7" fillId="32" borderId="28" xfId="0" applyNumberFormat="1" applyFont="1" applyFill="1" applyBorder="1" applyAlignment="1">
      <alignment horizontal="center" vertical="center" wrapText="1"/>
    </xf>
    <xf numFmtId="49" fontId="7" fillId="32" borderId="14" xfId="69" applyNumberFormat="1" applyFont="1" applyFill="1" applyBorder="1" applyAlignment="1" applyProtection="1">
      <alignment horizontal="left" vertical="center" wrapText="1"/>
      <protection/>
    </xf>
    <xf numFmtId="49" fontId="7" fillId="33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7" fillId="32" borderId="11" xfId="69" applyNumberFormat="1" applyFont="1" applyFill="1" applyBorder="1" applyAlignment="1" applyProtection="1">
      <alignment horizontal="left" vertical="center" wrapText="1"/>
      <protection/>
    </xf>
    <xf numFmtId="49" fontId="7" fillId="32" borderId="29" xfId="68" applyNumberFormat="1" applyFont="1" applyFill="1" applyBorder="1" applyAlignment="1">
      <alignment horizontal="left" vertical="center" wrapText="1"/>
    </xf>
    <xf numFmtId="49" fontId="7" fillId="33" borderId="11" xfId="69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quotePrefix="1">
      <alignment horizontal="left" vertical="center" wrapText="1"/>
    </xf>
    <xf numFmtId="0" fontId="7" fillId="32" borderId="14" xfId="69" applyNumberFormat="1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>
      <alignment horizontal="center" vertical="center"/>
    </xf>
    <xf numFmtId="0" fontId="7" fillId="33" borderId="11" xfId="69" applyNumberFormat="1" applyFont="1" applyFill="1" applyBorder="1" applyAlignment="1" applyProtection="1">
      <alignment horizontal="center" vertical="center"/>
      <protection/>
    </xf>
    <xf numFmtId="0" fontId="7" fillId="32" borderId="11" xfId="69" applyNumberFormat="1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30" xfId="0" applyFont="1" applyFill="1" applyBorder="1" applyAlignment="1">
      <alignment vertical="center"/>
    </xf>
    <xf numFmtId="0" fontId="0" fillId="0" borderId="30" xfId="0" applyBorder="1" applyAlignment="1">
      <alignment/>
    </xf>
    <xf numFmtId="0" fontId="0" fillId="0" borderId="0" xfId="62">
      <alignment/>
      <protection/>
    </xf>
    <xf numFmtId="0" fontId="0" fillId="0" borderId="0" xfId="62" applyBorder="1">
      <alignment/>
      <protection/>
    </xf>
    <xf numFmtId="49" fontId="3" fillId="33" borderId="22" xfId="62" applyNumberFormat="1" applyFont="1" applyFill="1" applyBorder="1" applyAlignment="1">
      <alignment horizontal="center" vertical="center" wrapText="1"/>
      <protection/>
    </xf>
    <xf numFmtId="0" fontId="12" fillId="34" borderId="22" xfId="62" applyFont="1" applyFill="1" applyBorder="1" applyAlignment="1">
      <alignment horizontal="center" vertical="center"/>
      <protection/>
    </xf>
    <xf numFmtId="0" fontId="0" fillId="32" borderId="31" xfId="62" applyFill="1" applyBorder="1">
      <alignment/>
      <protection/>
    </xf>
    <xf numFmtId="1" fontId="3" fillId="0" borderId="32" xfId="62" applyNumberFormat="1" applyFont="1" applyFill="1" applyBorder="1" applyAlignment="1">
      <alignment horizontal="center" vertical="center" wrapText="1"/>
      <protection/>
    </xf>
    <xf numFmtId="0" fontId="0" fillId="0" borderId="26" xfId="62" applyBorder="1">
      <alignment/>
      <protection/>
    </xf>
    <xf numFmtId="0" fontId="3" fillId="34" borderId="21" xfId="0" applyFont="1" applyFill="1" applyBorder="1" applyAlignment="1">
      <alignment horizontal="center" vertical="center"/>
    </xf>
    <xf numFmtId="49" fontId="3" fillId="33" borderId="11" xfId="62" applyNumberFormat="1" applyFont="1" applyFill="1" applyBorder="1" applyAlignment="1">
      <alignment horizontal="center" vertical="center" wrapText="1"/>
      <protection/>
    </xf>
    <xf numFmtId="1" fontId="7" fillId="32" borderId="11" xfId="0" applyNumberFormat="1" applyFont="1" applyFill="1" applyBorder="1" applyAlignment="1">
      <alignment horizontal="center" vertical="center" wrapText="1"/>
    </xf>
    <xf numFmtId="1" fontId="7" fillId="32" borderId="14" xfId="0" applyNumberFormat="1" applyFont="1" applyFill="1" applyBorder="1" applyAlignment="1">
      <alignment horizontal="center" vertical="center"/>
    </xf>
    <xf numFmtId="0" fontId="12" fillId="34" borderId="11" xfId="62" applyFont="1" applyFill="1" applyBorder="1" applyAlignment="1">
      <alignment horizontal="center" vertical="center"/>
      <protection/>
    </xf>
    <xf numFmtId="2" fontId="7" fillId="0" borderId="11" xfId="0" applyNumberFormat="1" applyFont="1" applyFill="1" applyBorder="1" applyAlignment="1">
      <alignment horizontal="center" vertical="center" wrapText="1"/>
    </xf>
    <xf numFmtId="166" fontId="7" fillId="0" borderId="11" xfId="0" applyNumberFormat="1" applyFont="1" applyFill="1" applyBorder="1" applyAlignment="1">
      <alignment horizontal="center" vertical="center" wrapText="1"/>
    </xf>
    <xf numFmtId="166" fontId="7" fillId="0" borderId="28" xfId="0" applyNumberFormat="1" applyFont="1" applyFill="1" applyBorder="1" applyAlignment="1">
      <alignment horizontal="center" vertical="center" wrapText="1"/>
    </xf>
    <xf numFmtId="2" fontId="7" fillId="0" borderId="28" xfId="0" applyNumberFormat="1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left" vertical="center" wrapText="1"/>
    </xf>
    <xf numFmtId="0" fontId="7" fillId="32" borderId="11" xfId="68" applyFont="1" applyFill="1" applyBorder="1" applyAlignment="1">
      <alignment horizontal="center" vertical="center"/>
    </xf>
    <xf numFmtId="0" fontId="3" fillId="0" borderId="11" xfId="69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>
      <alignment horizontal="center" vertical="center"/>
    </xf>
    <xf numFmtId="0" fontId="12" fillId="34" borderId="22" xfId="62" applyNumberFormat="1" applyFont="1" applyFill="1" applyBorder="1" applyAlignment="1">
      <alignment horizontal="center" vertical="center"/>
      <protection/>
    </xf>
    <xf numFmtId="0" fontId="3" fillId="33" borderId="22" xfId="62" applyNumberFormat="1" applyFont="1" applyFill="1" applyBorder="1" applyAlignment="1">
      <alignment horizontal="center" vertical="center" wrapText="1"/>
      <protection/>
    </xf>
    <xf numFmtId="0" fontId="7" fillId="32" borderId="33" xfId="68" applyNumberFormat="1" applyFont="1" applyFill="1" applyBorder="1" applyAlignment="1">
      <alignment horizontal="center" vertical="center"/>
    </xf>
    <xf numFmtId="0" fontId="7" fillId="32" borderId="29" xfId="68" applyNumberFormat="1" applyFont="1" applyFill="1" applyBorder="1" applyAlignment="1">
      <alignment horizontal="left" vertical="center" wrapText="1"/>
    </xf>
    <xf numFmtId="0" fontId="3" fillId="32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7" fillId="32" borderId="11" xfId="69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quotePrefix="1">
      <alignment horizontal="left" vertical="center" wrapText="1"/>
    </xf>
    <xf numFmtId="0" fontId="0" fillId="35" borderId="0" xfId="0" applyFill="1" applyAlignment="1">
      <alignment/>
    </xf>
    <xf numFmtId="4" fontId="15" fillId="0" borderId="22" xfId="62" applyNumberFormat="1" applyFont="1" applyBorder="1" applyAlignment="1">
      <alignment horizontal="right" vertical="center"/>
      <protection/>
    </xf>
    <xf numFmtId="4" fontId="3" fillId="33" borderId="22" xfId="62" applyNumberFormat="1" applyFont="1" applyFill="1" applyBorder="1" applyAlignment="1">
      <alignment horizontal="center" vertical="center" wrapText="1"/>
      <protection/>
    </xf>
    <xf numFmtId="4" fontId="24" fillId="0" borderId="34" xfId="62" applyNumberFormat="1" applyFont="1" applyBorder="1">
      <alignment/>
      <protection/>
    </xf>
    <xf numFmtId="4" fontId="24" fillId="0" borderId="22" xfId="62" applyNumberFormat="1" applyFont="1" applyBorder="1">
      <alignment/>
      <protection/>
    </xf>
    <xf numFmtId="4" fontId="7" fillId="32" borderId="35" xfId="0" applyNumberFormat="1" applyFont="1" applyFill="1" applyBorder="1" applyAlignment="1">
      <alignment horizontal="center" vertical="center" wrapText="1"/>
    </xf>
    <xf numFmtId="4" fontId="3" fillId="32" borderId="22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2" fontId="7" fillId="36" borderId="11" xfId="0" applyNumberFormat="1" applyFont="1" applyFill="1" applyBorder="1" applyAlignment="1">
      <alignment horizontal="center" vertical="center" wrapText="1"/>
    </xf>
    <xf numFmtId="0" fontId="3" fillId="32" borderId="11" xfId="0" applyNumberFormat="1" applyFont="1" applyFill="1" applyBorder="1" applyAlignment="1">
      <alignment horizontal="center" vertical="center"/>
    </xf>
    <xf numFmtId="49" fontId="7" fillId="32" borderId="11" xfId="69" applyNumberFormat="1" applyFont="1" applyFill="1" applyBorder="1" applyAlignment="1" applyProtection="1">
      <alignment horizontal="center" vertical="center" wrapText="1"/>
      <protection/>
    </xf>
    <xf numFmtId="0" fontId="3" fillId="32" borderId="2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49" fontId="3" fillId="36" borderId="11" xfId="0" applyNumberFormat="1" applyFont="1" applyFill="1" applyBorder="1" applyAlignment="1">
      <alignment horizontal="left" vertical="center" wrapText="1"/>
    </xf>
    <xf numFmtId="49" fontId="3" fillId="36" borderId="11" xfId="0" applyNumberFormat="1" applyFont="1" applyFill="1" applyBorder="1" applyAlignment="1">
      <alignment horizontal="center" vertical="center" wrapText="1"/>
    </xf>
    <xf numFmtId="0" fontId="3" fillId="0" borderId="36" xfId="69" applyNumberFormat="1" applyFont="1" applyFill="1" applyBorder="1" applyAlignment="1" applyProtection="1">
      <alignment horizontal="center" vertical="center"/>
      <protection/>
    </xf>
    <xf numFmtId="49" fontId="3" fillId="36" borderId="17" xfId="0" applyNumberFormat="1" applyFont="1" applyFill="1" applyBorder="1" applyAlignment="1">
      <alignment horizontal="left" vertical="center" wrapText="1"/>
    </xf>
    <xf numFmtId="49" fontId="3" fillId="36" borderId="17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4" fontId="24" fillId="0" borderId="17" xfId="62" applyNumberFormat="1" applyFont="1" applyBorder="1">
      <alignment/>
      <protection/>
    </xf>
    <xf numFmtId="4" fontId="23" fillId="2" borderId="37" xfId="62" applyNumberFormat="1" applyFont="1" applyFill="1" applyBorder="1" applyAlignment="1">
      <alignment vertical="center"/>
      <protection/>
    </xf>
    <xf numFmtId="0" fontId="3" fillId="36" borderId="21" xfId="0" applyFont="1" applyFill="1" applyBorder="1" applyAlignment="1">
      <alignment horizontal="center" vertical="center"/>
    </xf>
    <xf numFmtId="0" fontId="3" fillId="36" borderId="11" xfId="69" applyNumberFormat="1" applyFont="1" applyFill="1" applyBorder="1" applyAlignment="1" applyProtection="1">
      <alignment horizontal="center" vertical="center"/>
      <protection/>
    </xf>
    <xf numFmtId="0" fontId="3" fillId="36" borderId="11" xfId="0" applyNumberFormat="1" applyFont="1" applyFill="1" applyBorder="1" applyAlignment="1">
      <alignment horizontal="center" vertical="center" wrapText="1"/>
    </xf>
    <xf numFmtId="4" fontId="24" fillId="36" borderId="22" xfId="62" applyNumberFormat="1" applyFont="1" applyFill="1" applyBorder="1">
      <alignment/>
      <protection/>
    </xf>
    <xf numFmtId="0" fontId="3" fillId="36" borderId="11" xfId="0" applyNumberFormat="1" applyFont="1" applyFill="1" applyBorder="1" applyAlignment="1">
      <alignment horizontal="center" vertical="center"/>
    </xf>
    <xf numFmtId="49" fontId="3" fillId="36" borderId="11" xfId="0" applyNumberFormat="1" applyFont="1" applyFill="1" applyBorder="1" applyAlignment="1" quotePrefix="1">
      <alignment horizontal="left" vertical="center" wrapText="1"/>
    </xf>
    <xf numFmtId="2" fontId="7" fillId="36" borderId="28" xfId="0" applyNumberFormat="1" applyFont="1" applyFill="1" applyBorder="1" applyAlignment="1">
      <alignment horizontal="center" vertical="center" wrapText="1"/>
    </xf>
    <xf numFmtId="49" fontId="7" fillId="36" borderId="11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/>
    </xf>
    <xf numFmtId="0" fontId="23" fillId="2" borderId="37" xfId="62" applyFont="1" applyFill="1" applyBorder="1" applyAlignment="1">
      <alignment horizontal="left" vertical="center"/>
      <protection/>
    </xf>
    <xf numFmtId="0" fontId="17" fillId="0" borderId="38" xfId="0" applyFont="1" applyFill="1" applyBorder="1" applyAlignment="1">
      <alignment horizontal="center" wrapText="1"/>
    </xf>
    <xf numFmtId="0" fontId="17" fillId="0" borderId="39" xfId="0" applyFont="1" applyFill="1" applyBorder="1" applyAlignment="1">
      <alignment horizontal="center" wrapText="1"/>
    </xf>
    <xf numFmtId="0" fontId="17" fillId="0" borderId="40" xfId="0" applyFont="1" applyFill="1" applyBorder="1" applyAlignment="1">
      <alignment horizontal="center" wrapText="1"/>
    </xf>
    <xf numFmtId="0" fontId="21" fillId="37" borderId="38" xfId="0" applyFont="1" applyFill="1" applyBorder="1" applyAlignment="1">
      <alignment horizontal="center" vertical="center" wrapText="1"/>
    </xf>
    <xf numFmtId="0" fontId="21" fillId="37" borderId="39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" fontId="7" fillId="0" borderId="43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44" xfId="0" applyNumberFormat="1" applyFont="1" applyFill="1" applyBorder="1" applyAlignment="1">
      <alignment horizontal="center" vertical="center" wrapText="1"/>
    </xf>
    <xf numFmtId="1" fontId="7" fillId="0" borderId="45" xfId="0" applyNumberFormat="1" applyFont="1" applyFill="1" applyBorder="1" applyAlignment="1">
      <alignment horizontal="center" vertical="center" wrapText="1"/>
    </xf>
    <xf numFmtId="0" fontId="0" fillId="0" borderId="26" xfId="62" applyFont="1" applyBorder="1" applyAlignment="1">
      <alignment horizontal="center"/>
      <protection/>
    </xf>
    <xf numFmtId="0" fontId="0" fillId="0" borderId="26" xfId="62" applyBorder="1" applyAlignment="1">
      <alignment horizontal="center"/>
      <protection/>
    </xf>
    <xf numFmtId="0" fontId="23" fillId="2" borderId="46" xfId="62" applyFont="1" applyFill="1" applyBorder="1" applyAlignment="1">
      <alignment horizontal="left" vertical="center"/>
      <protection/>
    </xf>
    <xf numFmtId="0" fontId="23" fillId="2" borderId="39" xfId="62" applyFont="1" applyFill="1" applyBorder="1" applyAlignment="1">
      <alignment horizontal="left" vertical="center"/>
      <protection/>
    </xf>
    <xf numFmtId="0" fontId="23" fillId="2" borderId="37" xfId="62" applyFont="1" applyFill="1" applyBorder="1" applyAlignment="1">
      <alignment horizontal="left" vertical="center"/>
      <protection/>
    </xf>
    <xf numFmtId="0" fontId="17" fillId="0" borderId="38" xfId="62" applyFont="1" applyFill="1" applyBorder="1" applyAlignment="1">
      <alignment horizontal="center" wrapText="1"/>
      <protection/>
    </xf>
    <xf numFmtId="0" fontId="17" fillId="0" borderId="39" xfId="62" applyFont="1" applyFill="1" applyBorder="1" applyAlignment="1">
      <alignment horizontal="center" wrapText="1"/>
      <protection/>
    </xf>
    <xf numFmtId="0" fontId="17" fillId="0" borderId="40" xfId="62" applyFont="1" applyFill="1" applyBorder="1" applyAlignment="1">
      <alignment horizontal="center" wrapText="1"/>
      <protection/>
    </xf>
    <xf numFmtId="0" fontId="21" fillId="37" borderId="30" xfId="62" applyFont="1" applyFill="1" applyBorder="1" applyAlignment="1">
      <alignment horizontal="center" vertical="center" wrapText="1"/>
      <protection/>
    </xf>
    <xf numFmtId="0" fontId="21" fillId="37" borderId="0" xfId="62" applyFont="1" applyFill="1" applyBorder="1" applyAlignment="1">
      <alignment horizontal="center" vertical="center" wrapText="1"/>
      <protection/>
    </xf>
    <xf numFmtId="0" fontId="21" fillId="37" borderId="47" xfId="62" applyFont="1" applyFill="1" applyBorder="1" applyAlignment="1">
      <alignment horizontal="center" vertical="center" wrapText="1"/>
      <protection/>
    </xf>
    <xf numFmtId="0" fontId="3" fillId="0" borderId="16" xfId="62" applyFont="1" applyFill="1" applyBorder="1" applyAlignment="1">
      <alignment horizontal="center" vertical="center" wrapText="1"/>
      <protection/>
    </xf>
    <xf numFmtId="0" fontId="3" fillId="0" borderId="16" xfId="62" applyFont="1" applyFill="1" applyBorder="1" applyAlignment="1">
      <alignment horizontal="center" vertical="center"/>
      <protection/>
    </xf>
    <xf numFmtId="0" fontId="0" fillId="0" borderId="48" xfId="62" applyBorder="1" applyAlignment="1">
      <alignment horizontal="center" vertical="center" wrapText="1"/>
      <protection/>
    </xf>
    <xf numFmtId="0" fontId="15" fillId="0" borderId="49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3" fillId="0" borderId="50" xfId="62" applyFont="1" applyFill="1" applyBorder="1" applyAlignment="1">
      <alignment horizontal="center" vertical="center"/>
      <protection/>
    </xf>
    <xf numFmtId="0" fontId="3" fillId="0" borderId="50" xfId="62" applyFont="1" applyFill="1" applyBorder="1" applyAlignment="1">
      <alignment horizontal="center" vertical="center" wrapText="1"/>
      <protection/>
    </xf>
    <xf numFmtId="0" fontId="2" fillId="0" borderId="51" xfId="62" applyFont="1" applyBorder="1" applyAlignment="1">
      <alignment horizontal="center" vertical="center"/>
      <protection/>
    </xf>
    <xf numFmtId="0" fontId="2" fillId="0" borderId="22" xfId="62" applyFont="1" applyBorder="1" applyAlignment="1">
      <alignment horizontal="center" vertical="center"/>
      <protection/>
    </xf>
    <xf numFmtId="0" fontId="0" fillId="0" borderId="34" xfId="62" applyBorder="1" applyAlignment="1">
      <alignment horizontal="center" vertical="center" wrapText="1"/>
      <protection/>
    </xf>
    <xf numFmtId="0" fontId="3" fillId="32" borderId="1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15" fillId="0" borderId="11" xfId="62" applyNumberFormat="1" applyFont="1" applyBorder="1" applyAlignment="1">
      <alignment horizontal="right" vertical="center"/>
      <protection/>
    </xf>
    <xf numFmtId="0" fontId="3" fillId="33" borderId="11" xfId="0" applyFont="1" applyFill="1" applyBorder="1" applyAlignment="1">
      <alignment horizontal="center" vertical="center"/>
    </xf>
    <xf numFmtId="4" fontId="3" fillId="33" borderId="11" xfId="62" applyNumberFormat="1" applyFont="1" applyFill="1" applyBorder="1" applyAlignment="1">
      <alignment horizontal="center" vertical="center" wrapText="1"/>
      <protection/>
    </xf>
    <xf numFmtId="4" fontId="24" fillId="0" borderId="50" xfId="62" applyNumberFormat="1" applyFont="1" applyFill="1" applyBorder="1">
      <alignment/>
      <protection/>
    </xf>
    <xf numFmtId="4" fontId="7" fillId="32" borderId="11" xfId="0" applyNumberFormat="1" applyFont="1" applyFill="1" applyBorder="1" applyAlignment="1">
      <alignment horizontal="center" vertical="center" wrapText="1"/>
    </xf>
    <xf numFmtId="4" fontId="15" fillId="36" borderId="11" xfId="62" applyNumberFormat="1" applyFont="1" applyFill="1" applyBorder="1" applyAlignment="1">
      <alignment horizontal="right" vertical="center"/>
      <protection/>
    </xf>
    <xf numFmtId="0" fontId="0" fillId="36" borderId="11" xfId="62" applyFill="1" applyBorder="1" applyAlignment="1">
      <alignment horizontal="center" vertical="center"/>
      <protection/>
    </xf>
    <xf numFmtId="0" fontId="3" fillId="32" borderId="12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" fontId="15" fillId="0" borderId="52" xfId="62" applyNumberFormat="1" applyFont="1" applyBorder="1" applyAlignment="1">
      <alignment horizontal="right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0" fillId="0" borderId="14" xfId="62" applyBorder="1">
      <alignment/>
      <protection/>
    </xf>
    <xf numFmtId="0" fontId="23" fillId="2" borderId="53" xfId="62" applyFont="1" applyFill="1" applyBorder="1" applyAlignment="1">
      <alignment horizontal="left" vertical="center"/>
      <protection/>
    </xf>
    <xf numFmtId="0" fontId="23" fillId="2" borderId="31" xfId="62" applyFont="1" applyFill="1" applyBorder="1" applyAlignment="1">
      <alignment horizontal="left" vertical="center"/>
      <protection/>
    </xf>
    <xf numFmtId="4" fontId="23" fillId="2" borderId="31" xfId="62" applyNumberFormat="1" applyFont="1" applyFill="1" applyBorder="1" applyAlignment="1">
      <alignment vertical="center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3 2 2" xfId="48"/>
    <cellStyle name="Dziesiętny 3 3" xfId="49"/>
    <cellStyle name="Dziesiętny 4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ne" xfId="58"/>
    <cellStyle name="Normalny 2" xfId="59"/>
    <cellStyle name="Normalny 2 2" xfId="60"/>
    <cellStyle name="Normalny 2 2 2" xfId="61"/>
    <cellStyle name="Normalny 2 3" xfId="62"/>
    <cellStyle name="Normalny 2_Wykaz_A2_D1" xfId="63"/>
    <cellStyle name="Normalny 4" xfId="64"/>
    <cellStyle name="Normalny 4 2" xfId="65"/>
    <cellStyle name="Normalny 4 2 2" xfId="66"/>
    <cellStyle name="Normalny 4 3" xfId="67"/>
    <cellStyle name="Normalny_slepy-kosztorys" xfId="68"/>
    <cellStyle name="Normalny_TER02" xfId="69"/>
    <cellStyle name="Normalny_wykazy 5.4_x" xfId="70"/>
    <cellStyle name="Normalny_wykazy_5.5.1" xfId="71"/>
    <cellStyle name="Obliczenia" xfId="72"/>
    <cellStyle name="Opis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J45"/>
  <sheetViews>
    <sheetView view="pageBreakPreview" zoomScaleSheetLayoutView="100" zoomScalePageLayoutView="0" workbookViewId="0" topLeftCell="A4">
      <selection activeCell="A28" sqref="A28"/>
    </sheetView>
  </sheetViews>
  <sheetFormatPr defaultColWidth="8.796875" defaultRowHeight="14.25"/>
  <cols>
    <col min="1" max="1" width="5.09765625" style="41" customWidth="1"/>
    <col min="2" max="2" width="11.09765625" style="41" customWidth="1"/>
    <col min="3" max="3" width="55.3984375" style="41" customWidth="1"/>
    <col min="4" max="5" width="9" style="41" customWidth="1"/>
  </cols>
  <sheetData>
    <row r="2" spans="1:5" ht="15" thickBot="1">
      <c r="A2" s="34"/>
      <c r="B2" s="34"/>
      <c r="C2" s="34"/>
      <c r="D2" s="34"/>
      <c r="E2" s="34"/>
    </row>
    <row r="3" spans="1:5" ht="21" thickBot="1">
      <c r="A3" s="125" t="s">
        <v>60</v>
      </c>
      <c r="B3" s="126"/>
      <c r="C3" s="126"/>
      <c r="D3" s="126"/>
      <c r="E3" s="127"/>
    </row>
    <row r="4" spans="1:7" ht="44.25" customHeight="1" thickBot="1">
      <c r="A4" s="128" t="s">
        <v>102</v>
      </c>
      <c r="B4" s="129"/>
      <c r="C4" s="129"/>
      <c r="D4" s="129"/>
      <c r="E4" s="129"/>
      <c r="F4" s="63"/>
      <c r="G4" s="62"/>
    </row>
    <row r="5" spans="1:6" ht="14.25">
      <c r="A5" s="130" t="s">
        <v>61</v>
      </c>
      <c r="B5" s="132" t="s">
        <v>62</v>
      </c>
      <c r="C5" s="134" t="s">
        <v>63</v>
      </c>
      <c r="D5" s="136" t="s">
        <v>64</v>
      </c>
      <c r="E5" s="138" t="s">
        <v>65</v>
      </c>
      <c r="F5" s="64"/>
    </row>
    <row r="6" spans="1:5" ht="30.75" customHeight="1" thickBot="1">
      <c r="A6" s="131"/>
      <c r="B6" s="133"/>
      <c r="C6" s="135"/>
      <c r="D6" s="137"/>
      <c r="E6" s="139"/>
    </row>
    <row r="7" spans="1:5" ht="14.25">
      <c r="A7" s="58"/>
      <c r="B7" s="54" t="s">
        <v>66</v>
      </c>
      <c r="C7" s="47" t="s">
        <v>67</v>
      </c>
      <c r="D7" s="35"/>
      <c r="E7" s="42"/>
    </row>
    <row r="8" spans="1:5" ht="14.25">
      <c r="A8" s="72"/>
      <c r="B8" s="55" t="s">
        <v>68</v>
      </c>
      <c r="C8" s="48" t="s">
        <v>87</v>
      </c>
      <c r="D8" s="36"/>
      <c r="E8" s="43"/>
    </row>
    <row r="9" spans="1:7" ht="38.25">
      <c r="A9" s="60">
        <v>1</v>
      </c>
      <c r="B9" s="83"/>
      <c r="C9" s="49" t="s">
        <v>118</v>
      </c>
      <c r="D9" s="33" t="s">
        <v>49</v>
      </c>
      <c r="E9" s="79">
        <v>0.415</v>
      </c>
      <c r="G9" s="32"/>
    </row>
    <row r="10" spans="1:7" ht="14.25">
      <c r="A10" s="59"/>
      <c r="B10" s="56" t="s">
        <v>89</v>
      </c>
      <c r="C10" s="48" t="s">
        <v>90</v>
      </c>
      <c r="D10" s="36"/>
      <c r="E10" s="44"/>
      <c r="G10" s="32"/>
    </row>
    <row r="11" spans="1:7" ht="25.5">
      <c r="A11" s="60">
        <f>A9+1</f>
        <v>2</v>
      </c>
      <c r="B11" s="83"/>
      <c r="C11" s="49" t="s">
        <v>93</v>
      </c>
      <c r="D11" s="33" t="s">
        <v>83</v>
      </c>
      <c r="E11" s="80">
        <v>76.6</v>
      </c>
      <c r="G11" s="32"/>
    </row>
    <row r="12" spans="1:7" ht="14.25">
      <c r="A12" s="61"/>
      <c r="B12" s="82" t="s">
        <v>81</v>
      </c>
      <c r="C12" s="51" t="s">
        <v>70</v>
      </c>
      <c r="D12" s="38"/>
      <c r="E12" s="46"/>
      <c r="G12" s="32"/>
    </row>
    <row r="13" spans="1:7" ht="14.25">
      <c r="A13" s="59"/>
      <c r="B13" s="56" t="s">
        <v>73</v>
      </c>
      <c r="C13" s="81" t="s">
        <v>74</v>
      </c>
      <c r="D13" s="39"/>
      <c r="E13" s="44"/>
      <c r="G13" s="32"/>
    </row>
    <row r="14" spans="1:7" ht="25.5">
      <c r="A14" s="115">
        <v>3</v>
      </c>
      <c r="B14" s="116"/>
      <c r="C14" s="107" t="s">
        <v>101</v>
      </c>
      <c r="D14" s="108" t="s">
        <v>69</v>
      </c>
      <c r="E14" s="121">
        <v>766</v>
      </c>
      <c r="G14" s="32"/>
    </row>
    <row r="15" spans="1:7" ht="14.25">
      <c r="A15" s="59"/>
      <c r="B15" s="56" t="s">
        <v>85</v>
      </c>
      <c r="C15" s="48" t="s">
        <v>84</v>
      </c>
      <c r="D15" s="39"/>
      <c r="E15" s="44"/>
      <c r="G15" s="32"/>
    </row>
    <row r="16" spans="1:10" ht="25.5">
      <c r="A16" s="115">
        <v>4</v>
      </c>
      <c r="B16" s="116"/>
      <c r="C16" s="107" t="s">
        <v>94</v>
      </c>
      <c r="D16" s="108" t="s">
        <v>69</v>
      </c>
      <c r="E16" s="121">
        <v>766</v>
      </c>
      <c r="G16" s="32"/>
      <c r="J16" s="32"/>
    </row>
    <row r="17" spans="1:7" ht="14.25">
      <c r="A17" s="59"/>
      <c r="B17" s="56" t="s">
        <v>82</v>
      </c>
      <c r="C17" s="48" t="s">
        <v>86</v>
      </c>
      <c r="D17" s="39"/>
      <c r="E17" s="44"/>
      <c r="G17" s="32"/>
    </row>
    <row r="18" spans="1:7" ht="25.5">
      <c r="A18" s="115">
        <v>5</v>
      </c>
      <c r="B18" s="123"/>
      <c r="C18" s="107" t="s">
        <v>112</v>
      </c>
      <c r="D18" s="108" t="s">
        <v>69</v>
      </c>
      <c r="E18" s="121">
        <v>766</v>
      </c>
      <c r="F18" s="93"/>
      <c r="G18" s="32"/>
    </row>
    <row r="19" spans="1:7" ht="14.25">
      <c r="A19" s="61"/>
      <c r="B19" s="57" t="s">
        <v>71</v>
      </c>
      <c r="C19" s="50" t="s">
        <v>72</v>
      </c>
      <c r="D19" s="38"/>
      <c r="E19" s="45"/>
      <c r="G19" s="32"/>
    </row>
    <row r="20" spans="1:7" ht="14.25">
      <c r="A20" s="59"/>
      <c r="B20" s="56" t="s">
        <v>92</v>
      </c>
      <c r="C20" s="52" t="s">
        <v>88</v>
      </c>
      <c r="D20" s="40"/>
      <c r="E20" s="44"/>
      <c r="G20" s="32"/>
    </row>
    <row r="21" spans="1:7" ht="25.5">
      <c r="A21" s="108" t="s">
        <v>119</v>
      </c>
      <c r="B21" s="120"/>
      <c r="C21" s="107" t="s">
        <v>110</v>
      </c>
      <c r="D21" s="108" t="s">
        <v>50</v>
      </c>
      <c r="E21" s="122" t="s">
        <v>103</v>
      </c>
      <c r="G21" s="32"/>
    </row>
    <row r="22" spans="1:7" ht="14.25">
      <c r="A22" s="61"/>
      <c r="B22" s="57" t="s">
        <v>95</v>
      </c>
      <c r="C22" s="50" t="s">
        <v>96</v>
      </c>
      <c r="D22" s="38"/>
      <c r="E22" s="45"/>
      <c r="G22" s="32"/>
    </row>
    <row r="23" spans="1:7" ht="14.25">
      <c r="A23" s="59"/>
      <c r="B23" s="56" t="s">
        <v>97</v>
      </c>
      <c r="C23" s="52" t="s">
        <v>98</v>
      </c>
      <c r="D23" s="40"/>
      <c r="E23" s="44"/>
      <c r="G23" s="32"/>
    </row>
    <row r="24" spans="1:7" ht="25.5">
      <c r="A24" s="60">
        <v>7</v>
      </c>
      <c r="B24" s="83"/>
      <c r="C24" s="92" t="s">
        <v>99</v>
      </c>
      <c r="D24" s="33" t="s">
        <v>80</v>
      </c>
      <c r="E24" s="80">
        <v>4</v>
      </c>
      <c r="G24" s="32"/>
    </row>
    <row r="25" spans="1:7" ht="25.5">
      <c r="A25" s="60">
        <v>8</v>
      </c>
      <c r="B25" s="83"/>
      <c r="C25" s="53" t="s">
        <v>100</v>
      </c>
      <c r="D25" s="33" t="s">
        <v>80</v>
      </c>
      <c r="E25" s="80">
        <v>4</v>
      </c>
      <c r="G25" s="32"/>
    </row>
    <row r="26" spans="1:7" ht="14.25">
      <c r="A26" s="104"/>
      <c r="B26" s="103" t="s">
        <v>105</v>
      </c>
      <c r="C26" s="91" t="s">
        <v>104</v>
      </c>
      <c r="D26" s="102"/>
      <c r="E26" s="45"/>
      <c r="G26" s="32"/>
    </row>
    <row r="27" spans="1:7" ht="14.25">
      <c r="A27" s="106"/>
      <c r="B27" s="105" t="s">
        <v>107</v>
      </c>
      <c r="C27" s="48" t="s">
        <v>106</v>
      </c>
      <c r="D27" s="39"/>
      <c r="E27" s="44"/>
      <c r="G27" s="32"/>
    </row>
    <row r="28" spans="1:7" ht="25.5">
      <c r="A28" s="60">
        <v>9</v>
      </c>
      <c r="B28" s="83"/>
      <c r="C28" s="107" t="s">
        <v>108</v>
      </c>
      <c r="D28" s="108" t="s">
        <v>109</v>
      </c>
      <c r="E28" s="80">
        <v>407</v>
      </c>
      <c r="G28" s="32"/>
    </row>
    <row r="45" ht="14.25">
      <c r="H45" t="s">
        <v>91</v>
      </c>
    </row>
  </sheetData>
  <sheetProtection/>
  <mergeCells count="7">
    <mergeCell ref="A3:E3"/>
    <mergeCell ref="A4:E4"/>
    <mergeCell ref="A5:A6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orientation="portrait" paperSize="9" scale="69" r:id="rId1"/>
  <colBreaks count="1" manualBreakCount="1">
    <brk id="5" min="2" max="1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I37"/>
  <sheetViews>
    <sheetView tabSelected="1" view="pageBreakPreview" zoomScaleSheetLayoutView="100" zoomScalePageLayoutView="0" workbookViewId="0" topLeftCell="A18">
      <selection activeCell="L39" sqref="L39"/>
    </sheetView>
  </sheetViews>
  <sheetFormatPr defaultColWidth="8.796875" defaultRowHeight="14.25"/>
  <cols>
    <col min="1" max="1" width="5.09765625" style="65" customWidth="1"/>
    <col min="2" max="2" width="11.09765625" style="65" customWidth="1"/>
    <col min="3" max="3" width="44" style="65" customWidth="1"/>
    <col min="4" max="4" width="6.5" style="65" customWidth="1"/>
    <col min="5" max="5" width="11.59765625" style="65" customWidth="1"/>
    <col min="6" max="6" width="11.8984375" style="65" customWidth="1"/>
    <col min="7" max="7" width="14.69921875" style="65" customWidth="1"/>
    <col min="8" max="16384" width="9" style="65" customWidth="1"/>
  </cols>
  <sheetData>
    <row r="2" spans="1:7" ht="15" thickBot="1">
      <c r="A2" s="71"/>
      <c r="B2" s="71"/>
      <c r="C2" s="71"/>
      <c r="D2" s="71"/>
      <c r="E2" s="140" t="s">
        <v>114</v>
      </c>
      <c r="F2" s="141"/>
      <c r="G2" s="141"/>
    </row>
    <row r="3" spans="1:7" ht="21" thickBot="1">
      <c r="A3" s="145" t="s">
        <v>115</v>
      </c>
      <c r="B3" s="146"/>
      <c r="C3" s="146"/>
      <c r="D3" s="146"/>
      <c r="E3" s="146"/>
      <c r="F3" s="146"/>
      <c r="G3" s="147"/>
    </row>
    <row r="4" spans="1:7" ht="33.75" customHeight="1">
      <c r="A4" s="148" t="str">
        <f>PRZEDMIAR!A4</f>
        <v>BUDOWA ŚCIEZKI ROWEROWEJ  W JASZOWICACH PRZY DRODZE POWIATOWEJ 3503W - </v>
      </c>
      <c r="B4" s="149"/>
      <c r="C4" s="149"/>
      <c r="D4" s="149"/>
      <c r="E4" s="149"/>
      <c r="F4" s="149"/>
      <c r="G4" s="150"/>
    </row>
    <row r="5" spans="1:7" ht="22.5" customHeight="1">
      <c r="A5" s="164" t="s">
        <v>61</v>
      </c>
      <c r="B5" s="165" t="s">
        <v>62</v>
      </c>
      <c r="C5" s="164" t="s">
        <v>75</v>
      </c>
      <c r="D5" s="166" t="s">
        <v>77</v>
      </c>
      <c r="E5" s="167"/>
      <c r="F5" s="168" t="s">
        <v>78</v>
      </c>
      <c r="G5" s="168" t="s">
        <v>79</v>
      </c>
    </row>
    <row r="6" spans="1:7" ht="22.5" customHeight="1" thickBot="1">
      <c r="A6" s="152"/>
      <c r="B6" s="151"/>
      <c r="C6" s="152"/>
      <c r="D6" s="70" t="s">
        <v>76</v>
      </c>
      <c r="E6" s="70" t="s">
        <v>65</v>
      </c>
      <c r="F6" s="153"/>
      <c r="G6" s="153"/>
    </row>
    <row r="7" spans="1:7" ht="14.25">
      <c r="A7" s="169"/>
      <c r="B7" s="54" t="s">
        <v>66</v>
      </c>
      <c r="C7" s="47" t="s">
        <v>67</v>
      </c>
      <c r="D7" s="35"/>
      <c r="E7" s="75"/>
      <c r="F7" s="69"/>
      <c r="G7" s="69"/>
    </row>
    <row r="8" spans="1:7" ht="14.25">
      <c r="A8" s="170"/>
      <c r="B8" s="84" t="str">
        <f>PRZEDMIAR!B8</f>
        <v>D.01.01.01</v>
      </c>
      <c r="C8" s="48" t="str">
        <f>PRZEDMIAR!C8</f>
        <v>Odtworzenie trasy i punktów wysokościowych</v>
      </c>
      <c r="D8" s="85"/>
      <c r="E8" s="76"/>
      <c r="F8" s="68"/>
      <c r="G8" s="76"/>
    </row>
    <row r="9" spans="1:7" ht="48.75" customHeight="1">
      <c r="A9" s="171">
        <f>PRZEDMIAR!A9</f>
        <v>1</v>
      </c>
      <c r="B9" s="83"/>
      <c r="C9" s="49" t="str">
        <f>PRZEDMIAR!C9</f>
        <v>Odtworzenie trasy i punktów wysokościowych przy liniowych robotach ziemnych (drogi) w terenie równinnym wraz z inwentaryzacją powykonawczą</v>
      </c>
      <c r="D9" s="33" t="str">
        <f>PRZEDMIAR!D9</f>
        <v>km</v>
      </c>
      <c r="E9" s="78">
        <f>PRZEDMIAR!E9</f>
        <v>0.415</v>
      </c>
      <c r="F9" s="94"/>
      <c r="G9" s="172">
        <f>E9*F9</f>
        <v>0</v>
      </c>
    </row>
    <row r="10" spans="1:7" ht="13.5" customHeight="1">
      <c r="A10" s="173"/>
      <c r="B10" s="56" t="str">
        <f>PRZEDMIAR!B10</f>
        <v>D.01.02.02</v>
      </c>
      <c r="C10" s="48" t="str">
        <f>PRZEDMIAR!C10</f>
        <v>Zdjęcie warstwy humusu</v>
      </c>
      <c r="D10" s="86"/>
      <c r="E10" s="73"/>
      <c r="F10" s="95"/>
      <c r="G10" s="174"/>
    </row>
    <row r="11" spans="1:7" ht="25.5">
      <c r="A11" s="171">
        <f>PRZEDMIAR!A11</f>
        <v>2</v>
      </c>
      <c r="B11" s="83"/>
      <c r="C11" s="49" t="str">
        <f>PRZEDMIAR!C11</f>
        <v>Zdjęcie warstwy ziemi urodzajnej (humusu) o grubosci warstwy do 10 cm do póżniejszego wykorzystania</v>
      </c>
      <c r="D11" s="33" t="str">
        <f>PRZEDMIAR!D11</f>
        <v>m³</v>
      </c>
      <c r="E11" s="77">
        <f>PRZEDMIAR!E11</f>
        <v>76.6</v>
      </c>
      <c r="F11" s="96"/>
      <c r="G11" s="175">
        <f>E11*F11</f>
        <v>0</v>
      </c>
    </row>
    <row r="12" spans="1:7" ht="14.25">
      <c r="A12" s="37"/>
      <c r="B12" s="87" t="s">
        <v>81</v>
      </c>
      <c r="C12" s="88" t="s">
        <v>70</v>
      </c>
      <c r="D12" s="89"/>
      <c r="E12" s="74"/>
      <c r="F12" s="98"/>
      <c r="G12" s="176"/>
    </row>
    <row r="13" spans="1:7" ht="25.5">
      <c r="A13" s="173"/>
      <c r="B13" s="56" t="str">
        <f>PRZEDMIAR!B13</f>
        <v>D.04.01.01</v>
      </c>
      <c r="C13" s="81" t="str">
        <f>PRZEDMIAR!C13</f>
        <v>Koryto wraz z profilowaniem i zagęszczeniem podłoża</v>
      </c>
      <c r="D13" s="90"/>
      <c r="E13" s="73"/>
      <c r="F13" s="95"/>
      <c r="G13" s="174"/>
    </row>
    <row r="14" spans="1:7" ht="25.5">
      <c r="A14" s="123">
        <f>PRZEDMIAR!A14</f>
        <v>3</v>
      </c>
      <c r="B14" s="116"/>
      <c r="C14" s="107" t="str">
        <f>PRZEDMIAR!C14</f>
        <v>Koryto wykonane na całej szerokości chodników mechanicznie w gruncie kat. II-IV, głębokość koryta 20cm</v>
      </c>
      <c r="D14" s="117" t="s">
        <v>69</v>
      </c>
      <c r="E14" s="101">
        <f>PRZEDMIAR!E14</f>
        <v>766</v>
      </c>
      <c r="F14" s="118"/>
      <c r="G14" s="177">
        <f>E14*F14</f>
        <v>0</v>
      </c>
    </row>
    <row r="15" spans="1:7" ht="14.25">
      <c r="A15" s="173"/>
      <c r="B15" s="56" t="str">
        <f>PRZEDMIAR!B15</f>
        <v>D.04.03.01</v>
      </c>
      <c r="C15" s="48" t="str">
        <f>PRZEDMIAR!C15</f>
        <v>Oczyszczenie i skropienie warstw konstrukcyjnych</v>
      </c>
      <c r="D15" s="90"/>
      <c r="E15" s="67"/>
      <c r="F15" s="95"/>
      <c r="G15" s="174"/>
    </row>
    <row r="16" spans="1:7" ht="25.5">
      <c r="A16" s="123">
        <v>4</v>
      </c>
      <c r="B16" s="116"/>
      <c r="C16" s="107" t="str">
        <f>PRZEDMIAR!C16</f>
        <v>Mechaniczne skropienie warstw konstrukcyjnych nieulepszonych emulsją asfaltową </v>
      </c>
      <c r="D16" s="117" t="s">
        <v>69</v>
      </c>
      <c r="E16" s="101">
        <f>PRZEDMIAR!E16</f>
        <v>766</v>
      </c>
      <c r="F16" s="118"/>
      <c r="G16" s="177">
        <f>E16*F16</f>
        <v>0</v>
      </c>
    </row>
    <row r="17" spans="1:7" ht="25.5">
      <c r="A17" s="173"/>
      <c r="B17" s="56" t="str">
        <f>PRZEDMIAR!B17</f>
        <v>D.04.04.02</v>
      </c>
      <c r="C17" s="48" t="str">
        <f>PRZEDMIAR!C17</f>
        <v>Podbudowa z kruszyw stabilizowanych mechanicznie</v>
      </c>
      <c r="D17" s="90"/>
      <c r="E17" s="73"/>
      <c r="F17" s="95"/>
      <c r="G17" s="174"/>
    </row>
    <row r="18" spans="1:7" ht="38.25">
      <c r="A18" s="178">
        <v>5</v>
      </c>
      <c r="B18" s="119"/>
      <c r="C18" s="107" t="s">
        <v>113</v>
      </c>
      <c r="D18" s="117" t="s">
        <v>69</v>
      </c>
      <c r="E18" s="101">
        <f>PRZEDMIAR!E18</f>
        <v>766</v>
      </c>
      <c r="F18" s="118"/>
      <c r="G18" s="177">
        <f>E18*F18</f>
        <v>0</v>
      </c>
    </row>
    <row r="19" spans="1:7" ht="14.25">
      <c r="A19" s="179"/>
      <c r="B19" s="57" t="s">
        <v>71</v>
      </c>
      <c r="C19" s="91" t="s">
        <v>72</v>
      </c>
      <c r="D19" s="89"/>
      <c r="E19" s="37"/>
      <c r="F19" s="99"/>
      <c r="G19" s="100"/>
    </row>
    <row r="20" spans="1:7" ht="14.25">
      <c r="A20" s="173"/>
      <c r="B20" s="56" t="str">
        <f>PRZEDMIAR!B20</f>
        <v>D.05.03.05A</v>
      </c>
      <c r="C20" s="52" t="str">
        <f>PRZEDMIAR!C20</f>
        <v>Nawierzchnie z betonu asfaltowego</v>
      </c>
      <c r="D20" s="86"/>
      <c r="E20" s="73"/>
      <c r="F20" s="95"/>
      <c r="G20" s="174"/>
    </row>
    <row r="21" spans="1:7" ht="38.25">
      <c r="A21" s="123">
        <v>6</v>
      </c>
      <c r="B21" s="116"/>
      <c r="C21" s="120" t="s">
        <v>110</v>
      </c>
      <c r="D21" s="117" t="s">
        <v>69</v>
      </c>
      <c r="E21" s="101">
        <v>766</v>
      </c>
      <c r="F21" s="118"/>
      <c r="G21" s="177">
        <f>E21*F21</f>
        <v>0</v>
      </c>
    </row>
    <row r="22" spans="1:7" ht="14.25">
      <c r="A22" s="37"/>
      <c r="B22" s="87" t="str">
        <f>PRZEDMIAR!B22</f>
        <v>D.07.00.00</v>
      </c>
      <c r="C22" s="51" t="str">
        <f>PRZEDMIAR!C22</f>
        <v>URZĄDZENIA BEZPIECZEŃSTWA RUCHU</v>
      </c>
      <c r="D22" s="89"/>
      <c r="E22" s="74"/>
      <c r="F22" s="98"/>
      <c r="G22" s="176"/>
    </row>
    <row r="23" spans="1:7" ht="14.25">
      <c r="A23" s="173"/>
      <c r="B23" s="56" t="str">
        <f>PRZEDMIAR!B23</f>
        <v>D.07.02.01</v>
      </c>
      <c r="C23" s="81" t="str">
        <f>PRZEDMIAR!C23</f>
        <v>Oznakowanie Pionowe</v>
      </c>
      <c r="D23" s="90"/>
      <c r="E23" s="73"/>
      <c r="F23" s="95"/>
      <c r="G23" s="174"/>
    </row>
    <row r="24" spans="1:7" ht="38.25">
      <c r="A24" s="171">
        <v>7</v>
      </c>
      <c r="B24" s="83"/>
      <c r="C24" s="49" t="str">
        <f>PRZEDMIAR!C24</f>
        <v>Ustawienie słupków z rur stalowych ø70 dla znaków drogowych, wraz z wykopaniem i zasypaniem dołów z ubiciem warstwami</v>
      </c>
      <c r="D24" s="33" t="s">
        <v>80</v>
      </c>
      <c r="E24" s="77">
        <f>PRZEDMIAR!E24</f>
        <v>4</v>
      </c>
      <c r="F24" s="97"/>
      <c r="G24" s="172">
        <f>E24*F24</f>
        <v>0</v>
      </c>
    </row>
    <row r="25" spans="1:7" ht="25.5">
      <c r="A25" s="171">
        <v>8</v>
      </c>
      <c r="B25" s="83"/>
      <c r="C25" s="53" t="s">
        <v>100</v>
      </c>
      <c r="D25" s="33" t="s">
        <v>80</v>
      </c>
      <c r="E25" s="77">
        <f>PRZEDMIAR!E25</f>
        <v>4</v>
      </c>
      <c r="F25" s="97"/>
      <c r="G25" s="172">
        <f>E25*F25</f>
        <v>0</v>
      </c>
    </row>
    <row r="26" spans="1:7" ht="14.25">
      <c r="A26" s="180"/>
      <c r="B26" s="103" t="s">
        <v>105</v>
      </c>
      <c r="C26" s="91" t="s">
        <v>104</v>
      </c>
      <c r="D26" s="102"/>
      <c r="E26" s="102"/>
      <c r="F26" s="102"/>
      <c r="G26" s="37"/>
    </row>
    <row r="27" spans="1:7" ht="14.25">
      <c r="A27" s="181"/>
      <c r="B27" s="105" t="s">
        <v>107</v>
      </c>
      <c r="C27" s="48" t="s">
        <v>106</v>
      </c>
      <c r="D27" s="90"/>
      <c r="E27" s="73"/>
      <c r="F27" s="95"/>
      <c r="G27" s="174"/>
    </row>
    <row r="28" spans="1:7" ht="39" thickBot="1">
      <c r="A28" s="182">
        <v>9</v>
      </c>
      <c r="B28" s="109"/>
      <c r="C28" s="110" t="s">
        <v>108</v>
      </c>
      <c r="D28" s="111" t="s">
        <v>109</v>
      </c>
      <c r="E28" s="112">
        <v>407</v>
      </c>
      <c r="F28" s="113"/>
      <c r="G28" s="183">
        <f>E28*F28</f>
        <v>0</v>
      </c>
    </row>
    <row r="29" spans="1:7" ht="16.5" thickBot="1">
      <c r="A29" s="184"/>
      <c r="B29" s="143" t="s">
        <v>116</v>
      </c>
      <c r="C29" s="143"/>
      <c r="D29" s="143"/>
      <c r="E29" s="143"/>
      <c r="F29" s="144"/>
      <c r="G29" s="114">
        <f>SUM(G9:G28)</f>
        <v>0</v>
      </c>
    </row>
    <row r="30" spans="1:7" ht="16.5" thickBot="1">
      <c r="A30" s="185"/>
      <c r="B30" s="142" t="s">
        <v>117</v>
      </c>
      <c r="C30" s="143"/>
      <c r="D30" s="143"/>
      <c r="E30" s="143"/>
      <c r="F30" s="124"/>
      <c r="G30" s="114">
        <f>G29*0.23</f>
        <v>0</v>
      </c>
    </row>
    <row r="31" spans="1:9" ht="27" customHeight="1">
      <c r="A31" s="186"/>
      <c r="B31" s="187" t="s">
        <v>111</v>
      </c>
      <c r="C31" s="187"/>
      <c r="D31" s="187"/>
      <c r="E31" s="187"/>
      <c r="F31" s="188"/>
      <c r="G31" s="189">
        <f>G29+G30</f>
        <v>0</v>
      </c>
      <c r="I31" s="66"/>
    </row>
    <row r="32" ht="14.25">
      <c r="I32" s="66"/>
    </row>
    <row r="36" ht="14.25">
      <c r="G36" s="66"/>
    </row>
    <row r="37" ht="14.25">
      <c r="G37" s="66"/>
    </row>
  </sheetData>
  <sheetProtection/>
  <mergeCells count="12">
    <mergeCell ref="G5:G6"/>
    <mergeCell ref="B29:F29"/>
    <mergeCell ref="E2:G2"/>
    <mergeCell ref="B30:E30"/>
    <mergeCell ref="B31:F31"/>
    <mergeCell ref="A3:G3"/>
    <mergeCell ref="A4:G4"/>
    <mergeCell ref="A5:A6"/>
    <mergeCell ref="B5:B6"/>
    <mergeCell ref="C5:C6"/>
    <mergeCell ref="D5:E5"/>
    <mergeCell ref="F5:F6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4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19921875" style="0" customWidth="1"/>
    <col min="2" max="2" width="6.09765625" style="0" customWidth="1"/>
    <col min="3" max="3" width="11.3984375" style="0" customWidth="1"/>
    <col min="4" max="4" width="9.8984375" style="0" customWidth="1"/>
    <col min="5" max="5" width="14.3984375" style="0" customWidth="1"/>
    <col min="6" max="6" width="14.69921875" style="0" customWidth="1"/>
    <col min="7" max="7" width="10.09765625" style="0" customWidth="1"/>
    <col min="8" max="8" width="10" style="0" customWidth="1"/>
    <col min="9" max="9" width="10.69921875" style="0" customWidth="1"/>
    <col min="10" max="10" width="11.3984375" style="0" customWidth="1"/>
  </cols>
  <sheetData>
    <row r="1" ht="14.25">
      <c r="J1" s="1" t="s">
        <v>0</v>
      </c>
    </row>
    <row r="2" spans="1:8" ht="18">
      <c r="A2" s="3" t="s">
        <v>1</v>
      </c>
      <c r="D2" s="2"/>
      <c r="E2" s="2"/>
      <c r="F2" s="2"/>
      <c r="G2" s="2"/>
      <c r="H2" s="2"/>
    </row>
    <row r="4" ht="15.75">
      <c r="A4" s="4" t="s">
        <v>2</v>
      </c>
    </row>
    <row r="5" ht="15" thickBot="1"/>
    <row r="6" spans="1:11" ht="25.5">
      <c r="A6" s="9" t="s">
        <v>54</v>
      </c>
      <c r="B6" s="158" t="s">
        <v>59</v>
      </c>
      <c r="C6" s="10" t="s">
        <v>35</v>
      </c>
      <c r="D6" s="11" t="s">
        <v>37</v>
      </c>
      <c r="E6" s="160" t="s">
        <v>38</v>
      </c>
      <c r="F6" s="160" t="s">
        <v>39</v>
      </c>
      <c r="G6" s="162" t="s">
        <v>40</v>
      </c>
      <c r="H6" s="162" t="s">
        <v>41</v>
      </c>
      <c r="I6" s="162" t="s">
        <v>52</v>
      </c>
      <c r="J6" s="154" t="s">
        <v>42</v>
      </c>
      <c r="K6" s="6"/>
    </row>
    <row r="7" spans="1:11" ht="84.75" customHeight="1" thickBot="1">
      <c r="A7" s="12" t="s">
        <v>3</v>
      </c>
      <c r="B7" s="159"/>
      <c r="C7" s="13" t="s">
        <v>36</v>
      </c>
      <c r="D7" s="14" t="s">
        <v>43</v>
      </c>
      <c r="E7" s="161"/>
      <c r="F7" s="161"/>
      <c r="G7" s="163"/>
      <c r="H7" s="163"/>
      <c r="I7" s="163"/>
      <c r="J7" s="155"/>
      <c r="K7" s="6"/>
    </row>
    <row r="8" spans="1:11" ht="13.5" customHeight="1" thickBot="1">
      <c r="A8" s="15"/>
      <c r="B8" s="16"/>
      <c r="C8" s="17" t="s">
        <v>58</v>
      </c>
      <c r="D8" s="17" t="s">
        <v>51</v>
      </c>
      <c r="E8" s="17" t="s">
        <v>50</v>
      </c>
      <c r="F8" s="17" t="s">
        <v>50</v>
      </c>
      <c r="G8" s="17" t="s">
        <v>50</v>
      </c>
      <c r="H8" s="17" t="s">
        <v>50</v>
      </c>
      <c r="I8" s="17" t="s">
        <v>51</v>
      </c>
      <c r="J8" s="18" t="s">
        <v>50</v>
      </c>
      <c r="K8" s="6"/>
    </row>
    <row r="9" spans="1:11" ht="14.25">
      <c r="A9" s="28" t="s">
        <v>4</v>
      </c>
      <c r="B9" s="7" t="s">
        <v>56</v>
      </c>
      <c r="C9" s="29">
        <v>4.5</v>
      </c>
      <c r="D9" s="27">
        <f>0.86*C9*1.1</f>
        <v>4</v>
      </c>
      <c r="E9" s="27">
        <f>2*0.5*(2.7+0.6)*0.7*1.1</f>
        <v>3</v>
      </c>
      <c r="F9" s="27">
        <v>26</v>
      </c>
      <c r="G9" s="27">
        <v>5</v>
      </c>
      <c r="H9" s="27">
        <f>4.7*C9*1.1</f>
        <v>23</v>
      </c>
      <c r="I9" s="27">
        <f>0.6*0.3*C9*1.1</f>
        <v>1</v>
      </c>
      <c r="J9" s="30">
        <f>2*C9*1.1</f>
        <v>10</v>
      </c>
      <c r="K9" s="6"/>
    </row>
    <row r="10" spans="1:11" ht="14.25">
      <c r="A10" s="19" t="s">
        <v>5</v>
      </c>
      <c r="B10" s="5" t="s">
        <v>56</v>
      </c>
      <c r="C10" s="24">
        <v>4.5</v>
      </c>
      <c r="D10" s="26">
        <f>0.9*C10*1.1</f>
        <v>4</v>
      </c>
      <c r="E10" s="27">
        <f aca="true" t="shared" si="0" ref="E10:E44">2*0.5*(2.7+0.6)*0.7*1.1</f>
        <v>3</v>
      </c>
      <c r="F10" s="22">
        <v>26</v>
      </c>
      <c r="G10" s="22">
        <v>5</v>
      </c>
      <c r="H10" s="27">
        <f>4.7*C10*1.1</f>
        <v>23</v>
      </c>
      <c r="I10" s="27">
        <f aca="true" t="shared" si="1" ref="I10:I44">0.6*0.3*C10*1.1</f>
        <v>1</v>
      </c>
      <c r="J10" s="30">
        <f>2*C10*1.1</f>
        <v>10</v>
      </c>
      <c r="K10" s="6"/>
    </row>
    <row r="11" spans="1:11" ht="14.25">
      <c r="A11" s="19" t="s">
        <v>6</v>
      </c>
      <c r="B11" s="5" t="s">
        <v>55</v>
      </c>
      <c r="C11" s="24">
        <v>4</v>
      </c>
      <c r="D11" s="26">
        <f>0.9*C11*1.1</f>
        <v>4</v>
      </c>
      <c r="E11" s="27">
        <f t="shared" si="0"/>
        <v>3</v>
      </c>
      <c r="F11" s="22">
        <v>25</v>
      </c>
      <c r="G11" s="22">
        <v>5</v>
      </c>
      <c r="H11" s="27">
        <f>4.7*C11*1.1</f>
        <v>21</v>
      </c>
      <c r="I11" s="27">
        <f t="shared" si="1"/>
        <v>1</v>
      </c>
      <c r="J11" s="30">
        <f>2*C11*1.1</f>
        <v>9</v>
      </c>
      <c r="K11" s="6"/>
    </row>
    <row r="12" spans="1:11" ht="14.25">
      <c r="A12" s="19" t="s">
        <v>7</v>
      </c>
      <c r="B12" s="5" t="s">
        <v>55</v>
      </c>
      <c r="C12" s="24">
        <v>4.2</v>
      </c>
      <c r="D12" s="26">
        <f>0.84*C12*1.1</f>
        <v>4</v>
      </c>
      <c r="E12" s="27">
        <f t="shared" si="0"/>
        <v>3</v>
      </c>
      <c r="F12" s="22">
        <v>26</v>
      </c>
      <c r="G12" s="22">
        <v>5</v>
      </c>
      <c r="H12" s="27">
        <f>4.8*C12*1.1</f>
        <v>22</v>
      </c>
      <c r="I12" s="27">
        <f t="shared" si="1"/>
        <v>1</v>
      </c>
      <c r="J12" s="30">
        <f aca="true" t="shared" si="2" ref="J12:J44">2*C12*1.1</f>
        <v>9</v>
      </c>
      <c r="K12" s="6"/>
    </row>
    <row r="13" spans="1:11" ht="14.25">
      <c r="A13" s="19" t="s">
        <v>8</v>
      </c>
      <c r="B13" s="5" t="s">
        <v>56</v>
      </c>
      <c r="C13" s="24">
        <v>4.5</v>
      </c>
      <c r="D13" s="26">
        <f>1.07*C13*1.1</f>
        <v>5</v>
      </c>
      <c r="E13" s="27">
        <f t="shared" si="0"/>
        <v>3</v>
      </c>
      <c r="F13" s="22">
        <v>26</v>
      </c>
      <c r="G13" s="22">
        <v>7</v>
      </c>
      <c r="H13" s="27">
        <f>4.5*C13*1.1</f>
        <v>22</v>
      </c>
      <c r="I13" s="27">
        <f t="shared" si="1"/>
        <v>1</v>
      </c>
      <c r="J13" s="30">
        <f t="shared" si="2"/>
        <v>10</v>
      </c>
      <c r="K13" s="6"/>
    </row>
    <row r="14" spans="1:11" ht="14.25">
      <c r="A14" s="19" t="s">
        <v>9</v>
      </c>
      <c r="B14" s="5" t="s">
        <v>56</v>
      </c>
      <c r="C14" s="24">
        <v>4.5</v>
      </c>
      <c r="D14" s="26">
        <f>1.09*C14*1.1</f>
        <v>5</v>
      </c>
      <c r="E14" s="27">
        <f t="shared" si="0"/>
        <v>3</v>
      </c>
      <c r="F14" s="22">
        <v>26</v>
      </c>
      <c r="G14" s="22">
        <v>7</v>
      </c>
      <c r="H14" s="27">
        <f>4.7*C14*1.1</f>
        <v>23</v>
      </c>
      <c r="I14" s="27">
        <f t="shared" si="1"/>
        <v>1</v>
      </c>
      <c r="J14" s="30">
        <f t="shared" si="2"/>
        <v>10</v>
      </c>
      <c r="K14" s="6"/>
    </row>
    <row r="15" spans="1:11" ht="14.25">
      <c r="A15" s="19" t="s">
        <v>10</v>
      </c>
      <c r="B15" s="5" t="s">
        <v>56</v>
      </c>
      <c r="C15" s="24">
        <v>4.5</v>
      </c>
      <c r="D15" s="26">
        <f>0.95*C15*1.1</f>
        <v>5</v>
      </c>
      <c r="E15" s="27">
        <f t="shared" si="0"/>
        <v>3</v>
      </c>
      <c r="F15" s="22">
        <v>26</v>
      </c>
      <c r="G15" s="22">
        <v>6</v>
      </c>
      <c r="H15" s="27">
        <f>4.7*C15*1.1</f>
        <v>23</v>
      </c>
      <c r="I15" s="27">
        <f t="shared" si="1"/>
        <v>1</v>
      </c>
      <c r="J15" s="30">
        <f t="shared" si="2"/>
        <v>10</v>
      </c>
      <c r="K15" s="6"/>
    </row>
    <row r="16" spans="1:11" ht="14.25">
      <c r="A16" s="19" t="s">
        <v>11</v>
      </c>
      <c r="B16" s="5" t="s">
        <v>56</v>
      </c>
      <c r="C16" s="24">
        <v>6.5</v>
      </c>
      <c r="D16" s="26">
        <f>4.27*C16*1.1</f>
        <v>31</v>
      </c>
      <c r="E16" s="27">
        <f t="shared" si="0"/>
        <v>3</v>
      </c>
      <c r="F16" s="22">
        <v>32</v>
      </c>
      <c r="G16" s="22">
        <v>12</v>
      </c>
      <c r="H16" s="27">
        <f>5.5*C16*1.1</f>
        <v>39</v>
      </c>
      <c r="I16" s="27">
        <f t="shared" si="1"/>
        <v>1</v>
      </c>
      <c r="J16" s="30">
        <f t="shared" si="2"/>
        <v>14</v>
      </c>
      <c r="K16" s="6"/>
    </row>
    <row r="17" spans="1:11" ht="14.25">
      <c r="A17" s="19" t="s">
        <v>12</v>
      </c>
      <c r="B17" s="5" t="s">
        <v>56</v>
      </c>
      <c r="C17" s="24">
        <v>4.5</v>
      </c>
      <c r="D17" s="26">
        <f>0.9*C17*1.1</f>
        <v>4</v>
      </c>
      <c r="E17" s="27">
        <f t="shared" si="0"/>
        <v>3</v>
      </c>
      <c r="F17" s="22">
        <v>26</v>
      </c>
      <c r="G17" s="22">
        <v>5</v>
      </c>
      <c r="H17" s="27">
        <f>4.6*C17*1.1</f>
        <v>23</v>
      </c>
      <c r="I17" s="27">
        <f t="shared" si="1"/>
        <v>1</v>
      </c>
      <c r="J17" s="30">
        <f t="shared" si="2"/>
        <v>10</v>
      </c>
      <c r="K17" s="6"/>
    </row>
    <row r="18" spans="1:11" ht="14.25">
      <c r="A18" s="19" t="s">
        <v>13</v>
      </c>
      <c r="B18" s="5" t="s">
        <v>56</v>
      </c>
      <c r="C18" s="24">
        <v>4.5</v>
      </c>
      <c r="D18" s="26">
        <f>1.09*C18*1.1</f>
        <v>5</v>
      </c>
      <c r="E18" s="27">
        <f t="shared" si="0"/>
        <v>3</v>
      </c>
      <c r="F18" s="22">
        <v>26</v>
      </c>
      <c r="G18" s="22">
        <v>6</v>
      </c>
      <c r="H18" s="27">
        <f>4.5*C18*1.1</f>
        <v>22</v>
      </c>
      <c r="I18" s="27">
        <f t="shared" si="1"/>
        <v>1</v>
      </c>
      <c r="J18" s="30">
        <f t="shared" si="2"/>
        <v>10</v>
      </c>
      <c r="K18" s="6"/>
    </row>
    <row r="19" spans="1:11" ht="14.25">
      <c r="A19" s="19" t="s">
        <v>14</v>
      </c>
      <c r="B19" s="5" t="s">
        <v>56</v>
      </c>
      <c r="C19" s="24">
        <v>5.7</v>
      </c>
      <c r="D19" s="26">
        <f>2.65*C19*1.1</f>
        <v>17</v>
      </c>
      <c r="E19" s="27">
        <f t="shared" si="0"/>
        <v>3</v>
      </c>
      <c r="F19" s="22">
        <v>27</v>
      </c>
      <c r="G19" s="22">
        <v>10</v>
      </c>
      <c r="H19" s="27">
        <f>5.1*C19*1.1</f>
        <v>32</v>
      </c>
      <c r="I19" s="27">
        <f t="shared" si="1"/>
        <v>1</v>
      </c>
      <c r="J19" s="30">
        <f t="shared" si="2"/>
        <v>13</v>
      </c>
      <c r="K19" s="6"/>
    </row>
    <row r="20" spans="1:11" ht="14.25">
      <c r="A20" s="19" t="s">
        <v>15</v>
      </c>
      <c r="B20" s="5" t="s">
        <v>56</v>
      </c>
      <c r="C20" s="24">
        <v>4.5</v>
      </c>
      <c r="D20" s="26">
        <f>1.26*C20*1.1</f>
        <v>6</v>
      </c>
      <c r="E20" s="27">
        <f t="shared" si="0"/>
        <v>3</v>
      </c>
      <c r="F20" s="22">
        <v>26</v>
      </c>
      <c r="G20" s="22">
        <v>6</v>
      </c>
      <c r="H20" s="27">
        <f>4.6*C20*1.1</f>
        <v>23</v>
      </c>
      <c r="I20" s="27">
        <f t="shared" si="1"/>
        <v>1</v>
      </c>
      <c r="J20" s="30">
        <f t="shared" si="2"/>
        <v>10</v>
      </c>
      <c r="K20" s="6"/>
    </row>
    <row r="21" spans="1:11" ht="14.25">
      <c r="A21" s="19" t="s">
        <v>16</v>
      </c>
      <c r="B21" s="5" t="s">
        <v>56</v>
      </c>
      <c r="C21" s="24">
        <v>4</v>
      </c>
      <c r="D21" s="26">
        <f>0.8*C21*1.1</f>
        <v>4</v>
      </c>
      <c r="E21" s="27">
        <f t="shared" si="0"/>
        <v>3</v>
      </c>
      <c r="F21" s="22">
        <v>25</v>
      </c>
      <c r="G21" s="22">
        <v>4</v>
      </c>
      <c r="H21" s="27">
        <f aca="true" t="shared" si="3" ref="H21:H26">4.4*C21*1.1</f>
        <v>19</v>
      </c>
      <c r="I21" s="27">
        <f t="shared" si="1"/>
        <v>1</v>
      </c>
      <c r="J21" s="30">
        <f t="shared" si="2"/>
        <v>9</v>
      </c>
      <c r="K21" s="6"/>
    </row>
    <row r="22" spans="1:11" ht="14.25">
      <c r="A22" s="19" t="s">
        <v>17</v>
      </c>
      <c r="B22" s="5" t="s">
        <v>55</v>
      </c>
      <c r="C22" s="24">
        <v>4.2</v>
      </c>
      <c r="D22" s="26">
        <f>0.9*C22*1.1</f>
        <v>4</v>
      </c>
      <c r="E22" s="27">
        <f t="shared" si="0"/>
        <v>3</v>
      </c>
      <c r="F22" s="22">
        <v>24</v>
      </c>
      <c r="G22" s="22">
        <v>4</v>
      </c>
      <c r="H22" s="27">
        <f t="shared" si="3"/>
        <v>20</v>
      </c>
      <c r="I22" s="27">
        <f t="shared" si="1"/>
        <v>1</v>
      </c>
      <c r="J22" s="30">
        <f t="shared" si="2"/>
        <v>9</v>
      </c>
      <c r="K22" s="6"/>
    </row>
    <row r="23" spans="1:11" ht="14.25">
      <c r="A23" s="19" t="s">
        <v>18</v>
      </c>
      <c r="B23" s="5" t="s">
        <v>55</v>
      </c>
      <c r="C23" s="24">
        <v>4</v>
      </c>
      <c r="D23" s="26">
        <f>0.86*C23*1.1</f>
        <v>4</v>
      </c>
      <c r="E23" s="27">
        <f t="shared" si="0"/>
        <v>3</v>
      </c>
      <c r="F23" s="22">
        <v>24</v>
      </c>
      <c r="G23" s="22">
        <v>4</v>
      </c>
      <c r="H23" s="27">
        <f t="shared" si="3"/>
        <v>19</v>
      </c>
      <c r="I23" s="27">
        <f t="shared" si="1"/>
        <v>1</v>
      </c>
      <c r="J23" s="30">
        <f t="shared" si="2"/>
        <v>9</v>
      </c>
      <c r="K23" s="6"/>
    </row>
    <row r="24" spans="1:11" ht="14.25">
      <c r="A24" s="19" t="s">
        <v>19</v>
      </c>
      <c r="B24" s="5" t="s">
        <v>56</v>
      </c>
      <c r="C24" s="24">
        <v>4.5</v>
      </c>
      <c r="D24" s="26">
        <f>0.89*C24*1.1</f>
        <v>4</v>
      </c>
      <c r="E24" s="27">
        <f t="shared" si="0"/>
        <v>3</v>
      </c>
      <c r="F24" s="22">
        <v>24</v>
      </c>
      <c r="G24" s="22">
        <v>4</v>
      </c>
      <c r="H24" s="27">
        <f t="shared" si="3"/>
        <v>22</v>
      </c>
      <c r="I24" s="27">
        <f t="shared" si="1"/>
        <v>1</v>
      </c>
      <c r="J24" s="30">
        <f t="shared" si="2"/>
        <v>10</v>
      </c>
      <c r="K24" s="6"/>
    </row>
    <row r="25" spans="1:11" ht="14.25">
      <c r="A25" s="19" t="s">
        <v>20</v>
      </c>
      <c r="B25" s="5" t="s">
        <v>56</v>
      </c>
      <c r="C25" s="24">
        <v>4.2</v>
      </c>
      <c r="D25" s="26">
        <f>1*C25*1.1</f>
        <v>5</v>
      </c>
      <c r="E25" s="27">
        <f t="shared" si="0"/>
        <v>3</v>
      </c>
      <c r="F25" s="22">
        <v>24</v>
      </c>
      <c r="G25" s="22">
        <v>5</v>
      </c>
      <c r="H25" s="27">
        <f t="shared" si="3"/>
        <v>20</v>
      </c>
      <c r="I25" s="27">
        <f t="shared" si="1"/>
        <v>1</v>
      </c>
      <c r="J25" s="30">
        <f t="shared" si="2"/>
        <v>9</v>
      </c>
      <c r="K25" s="6"/>
    </row>
    <row r="26" spans="1:11" ht="14.25">
      <c r="A26" s="19" t="s">
        <v>22</v>
      </c>
      <c r="B26" s="5" t="s">
        <v>56</v>
      </c>
      <c r="C26" s="24">
        <v>4</v>
      </c>
      <c r="D26" s="26">
        <f>0.84*C26*1.1</f>
        <v>4</v>
      </c>
      <c r="E26" s="27">
        <f t="shared" si="0"/>
        <v>3</v>
      </c>
      <c r="F26" s="22">
        <v>24</v>
      </c>
      <c r="G26" s="22">
        <v>4</v>
      </c>
      <c r="H26" s="27">
        <f t="shared" si="3"/>
        <v>19</v>
      </c>
      <c r="I26" s="27">
        <f t="shared" si="1"/>
        <v>1</v>
      </c>
      <c r="J26" s="30">
        <f t="shared" si="2"/>
        <v>9</v>
      </c>
      <c r="K26" s="6"/>
    </row>
    <row r="27" spans="1:11" ht="14.25">
      <c r="A27" s="19" t="s">
        <v>21</v>
      </c>
      <c r="B27" s="5" t="s">
        <v>56</v>
      </c>
      <c r="C27" s="24">
        <v>4.5</v>
      </c>
      <c r="D27" s="26">
        <f>1.21*C27*1.1</f>
        <v>6</v>
      </c>
      <c r="E27" s="27">
        <f t="shared" si="0"/>
        <v>3</v>
      </c>
      <c r="F27" s="22">
        <v>24</v>
      </c>
      <c r="G27" s="22">
        <v>7</v>
      </c>
      <c r="H27" s="27">
        <f>4.6*C27*1.1</f>
        <v>23</v>
      </c>
      <c r="I27" s="27">
        <f t="shared" si="1"/>
        <v>1</v>
      </c>
      <c r="J27" s="30">
        <f t="shared" si="2"/>
        <v>10</v>
      </c>
      <c r="K27" s="6"/>
    </row>
    <row r="28" spans="1:11" ht="14.25">
      <c r="A28" s="19" t="s">
        <v>48</v>
      </c>
      <c r="B28" s="8" t="s">
        <v>57</v>
      </c>
      <c r="C28" s="24">
        <v>4</v>
      </c>
      <c r="D28" s="26">
        <f>0.8*C28*1.1</f>
        <v>4</v>
      </c>
      <c r="E28" s="27">
        <f t="shared" si="0"/>
        <v>3</v>
      </c>
      <c r="F28" s="22">
        <v>24</v>
      </c>
      <c r="G28" s="22">
        <v>4</v>
      </c>
      <c r="H28" s="27">
        <f>4.5*C28*1.1</f>
        <v>20</v>
      </c>
      <c r="I28" s="27">
        <f t="shared" si="1"/>
        <v>1</v>
      </c>
      <c r="J28" s="30">
        <f t="shared" si="2"/>
        <v>9</v>
      </c>
      <c r="K28" s="6"/>
    </row>
    <row r="29" spans="1:11" ht="14.25">
      <c r="A29" s="19" t="s">
        <v>47</v>
      </c>
      <c r="B29" s="8" t="s">
        <v>57</v>
      </c>
      <c r="C29" s="24">
        <v>4.5</v>
      </c>
      <c r="D29" s="26">
        <f>1*C29*1.1</f>
        <v>5</v>
      </c>
      <c r="E29" s="27">
        <f t="shared" si="0"/>
        <v>3</v>
      </c>
      <c r="F29" s="22">
        <v>24</v>
      </c>
      <c r="G29" s="22">
        <v>5</v>
      </c>
      <c r="H29" s="27">
        <f>4.5*C29*1.1</f>
        <v>22</v>
      </c>
      <c r="I29" s="27">
        <f t="shared" si="1"/>
        <v>1</v>
      </c>
      <c r="J29" s="30">
        <f t="shared" si="2"/>
        <v>10</v>
      </c>
      <c r="K29" s="6"/>
    </row>
    <row r="30" spans="1:11" ht="14.25">
      <c r="A30" s="19" t="s">
        <v>46</v>
      </c>
      <c r="B30" s="8" t="s">
        <v>57</v>
      </c>
      <c r="C30" s="24">
        <v>4.5</v>
      </c>
      <c r="D30" s="26">
        <f>1.29*C30*1.1</f>
        <v>6</v>
      </c>
      <c r="E30" s="27">
        <f t="shared" si="0"/>
        <v>3</v>
      </c>
      <c r="F30" s="22">
        <v>24</v>
      </c>
      <c r="G30" s="22">
        <v>6</v>
      </c>
      <c r="H30" s="27">
        <f>4.5*C30*1.1</f>
        <v>22</v>
      </c>
      <c r="I30" s="27">
        <f t="shared" si="1"/>
        <v>1</v>
      </c>
      <c r="J30" s="30">
        <f t="shared" si="2"/>
        <v>10</v>
      </c>
      <c r="K30" s="6"/>
    </row>
    <row r="31" spans="1:11" ht="14.25">
      <c r="A31" s="19" t="s">
        <v>45</v>
      </c>
      <c r="B31" s="8" t="s">
        <v>57</v>
      </c>
      <c r="C31" s="24">
        <v>4.5</v>
      </c>
      <c r="D31" s="26">
        <f>1.15*C31*1.1</f>
        <v>6</v>
      </c>
      <c r="E31" s="27">
        <f t="shared" si="0"/>
        <v>3</v>
      </c>
      <c r="F31" s="22">
        <v>24</v>
      </c>
      <c r="G31" s="22">
        <v>6</v>
      </c>
      <c r="H31" s="27">
        <f>4.5*C31*1.1</f>
        <v>22</v>
      </c>
      <c r="I31" s="27">
        <f t="shared" si="1"/>
        <v>1</v>
      </c>
      <c r="J31" s="30">
        <f t="shared" si="2"/>
        <v>10</v>
      </c>
      <c r="K31" s="6"/>
    </row>
    <row r="32" spans="1:11" ht="14.25">
      <c r="A32" s="19" t="s">
        <v>44</v>
      </c>
      <c r="B32" s="8" t="s">
        <v>57</v>
      </c>
      <c r="C32" s="24">
        <v>4.5</v>
      </c>
      <c r="D32" s="26">
        <f>1*C32*1.1</f>
        <v>5</v>
      </c>
      <c r="E32" s="27">
        <f t="shared" si="0"/>
        <v>3</v>
      </c>
      <c r="F32" s="22">
        <v>24</v>
      </c>
      <c r="G32" s="22">
        <v>6</v>
      </c>
      <c r="H32" s="27">
        <f aca="true" t="shared" si="4" ref="H32:H43">4.5*C32*1.1</f>
        <v>22</v>
      </c>
      <c r="I32" s="27">
        <f t="shared" si="1"/>
        <v>1</v>
      </c>
      <c r="J32" s="30">
        <f t="shared" si="2"/>
        <v>10</v>
      </c>
      <c r="K32" s="6"/>
    </row>
    <row r="33" spans="1:11" ht="14.25">
      <c r="A33" s="19" t="s">
        <v>23</v>
      </c>
      <c r="B33" s="5" t="s">
        <v>56</v>
      </c>
      <c r="C33" s="24">
        <v>4.5</v>
      </c>
      <c r="D33" s="26">
        <f>1.61*C33*1.1</f>
        <v>8</v>
      </c>
      <c r="E33" s="27">
        <f t="shared" si="0"/>
        <v>3</v>
      </c>
      <c r="F33" s="22">
        <v>24</v>
      </c>
      <c r="G33" s="22">
        <v>6</v>
      </c>
      <c r="H33" s="27">
        <f>5.6*C33*1.1</f>
        <v>28</v>
      </c>
      <c r="I33" s="27">
        <f t="shared" si="1"/>
        <v>1</v>
      </c>
      <c r="J33" s="30">
        <f t="shared" si="2"/>
        <v>10</v>
      </c>
      <c r="K33" s="6"/>
    </row>
    <row r="34" spans="1:11" ht="14.25">
      <c r="A34" s="19" t="s">
        <v>24</v>
      </c>
      <c r="B34" s="5" t="s">
        <v>56</v>
      </c>
      <c r="C34" s="24">
        <v>4.7</v>
      </c>
      <c r="D34" s="26">
        <f>1.46*C34*1.1</f>
        <v>8</v>
      </c>
      <c r="E34" s="27">
        <f t="shared" si="0"/>
        <v>3</v>
      </c>
      <c r="F34" s="22">
        <v>24</v>
      </c>
      <c r="G34" s="22">
        <v>7</v>
      </c>
      <c r="H34" s="27">
        <f t="shared" si="4"/>
        <v>23</v>
      </c>
      <c r="I34" s="27">
        <f t="shared" si="1"/>
        <v>1</v>
      </c>
      <c r="J34" s="30">
        <f t="shared" si="2"/>
        <v>10</v>
      </c>
      <c r="K34" s="6"/>
    </row>
    <row r="35" spans="1:11" ht="14.25">
      <c r="A35" s="19" t="s">
        <v>25</v>
      </c>
      <c r="B35" s="5" t="s">
        <v>56</v>
      </c>
      <c r="C35" s="24">
        <v>4.5</v>
      </c>
      <c r="D35" s="26">
        <f>0.9*C35*1.1</f>
        <v>4</v>
      </c>
      <c r="E35" s="27">
        <f t="shared" si="0"/>
        <v>3</v>
      </c>
      <c r="F35" s="22">
        <v>24</v>
      </c>
      <c r="G35" s="22">
        <v>4</v>
      </c>
      <c r="H35" s="27">
        <f t="shared" si="4"/>
        <v>22</v>
      </c>
      <c r="I35" s="27">
        <f t="shared" si="1"/>
        <v>1</v>
      </c>
      <c r="J35" s="30">
        <f t="shared" si="2"/>
        <v>10</v>
      </c>
      <c r="K35" s="6"/>
    </row>
    <row r="36" spans="1:11" ht="14.25">
      <c r="A36" s="19" t="s">
        <v>26</v>
      </c>
      <c r="B36" s="5" t="s">
        <v>56</v>
      </c>
      <c r="C36" s="24">
        <v>4</v>
      </c>
      <c r="D36" s="26">
        <f>0.8*C36*1.1</f>
        <v>4</v>
      </c>
      <c r="E36" s="27">
        <f t="shared" si="0"/>
        <v>3</v>
      </c>
      <c r="F36" s="22">
        <v>24</v>
      </c>
      <c r="G36" s="22">
        <v>4</v>
      </c>
      <c r="H36" s="27">
        <f t="shared" si="4"/>
        <v>20</v>
      </c>
      <c r="I36" s="27">
        <f t="shared" si="1"/>
        <v>1</v>
      </c>
      <c r="J36" s="30">
        <f t="shared" si="2"/>
        <v>9</v>
      </c>
      <c r="K36" s="6"/>
    </row>
    <row r="37" spans="1:11" ht="14.25">
      <c r="A37" s="19" t="s">
        <v>27</v>
      </c>
      <c r="B37" s="5" t="s">
        <v>56</v>
      </c>
      <c r="C37" s="24">
        <v>7</v>
      </c>
      <c r="D37" s="26">
        <f>4.92*C37*1.1</f>
        <v>38</v>
      </c>
      <c r="E37" s="27">
        <f t="shared" si="0"/>
        <v>3</v>
      </c>
      <c r="F37" s="22">
        <v>35</v>
      </c>
      <c r="G37" s="22">
        <v>12</v>
      </c>
      <c r="H37" s="27">
        <f>5.5*C37*1.1</f>
        <v>42</v>
      </c>
      <c r="I37" s="27">
        <f t="shared" si="1"/>
        <v>1</v>
      </c>
      <c r="J37" s="30">
        <f t="shared" si="2"/>
        <v>15</v>
      </c>
      <c r="K37" s="6"/>
    </row>
    <row r="38" spans="1:11" ht="14.25">
      <c r="A38" s="19" t="s">
        <v>28</v>
      </c>
      <c r="B38" s="5" t="s">
        <v>56</v>
      </c>
      <c r="C38" s="24">
        <v>5.5</v>
      </c>
      <c r="D38" s="26">
        <f>2.69*C38*1.1</f>
        <v>16</v>
      </c>
      <c r="E38" s="27">
        <f t="shared" si="0"/>
        <v>3</v>
      </c>
      <c r="F38" s="22">
        <v>27</v>
      </c>
      <c r="G38" s="22">
        <v>10</v>
      </c>
      <c r="H38" s="27">
        <f t="shared" si="4"/>
        <v>27</v>
      </c>
      <c r="I38" s="27">
        <f t="shared" si="1"/>
        <v>1</v>
      </c>
      <c r="J38" s="30">
        <f t="shared" si="2"/>
        <v>12</v>
      </c>
      <c r="K38" s="6"/>
    </row>
    <row r="39" spans="1:11" ht="14.25">
      <c r="A39" s="19" t="s">
        <v>29</v>
      </c>
      <c r="B39" s="5" t="s">
        <v>56</v>
      </c>
      <c r="C39" s="24">
        <v>4.5</v>
      </c>
      <c r="D39" s="26">
        <f>1*C39*1.1</f>
        <v>5</v>
      </c>
      <c r="E39" s="27">
        <f t="shared" si="0"/>
        <v>3</v>
      </c>
      <c r="F39" s="22">
        <v>24</v>
      </c>
      <c r="G39" s="22">
        <v>6</v>
      </c>
      <c r="H39" s="27">
        <f t="shared" si="4"/>
        <v>22</v>
      </c>
      <c r="I39" s="27">
        <f t="shared" si="1"/>
        <v>1</v>
      </c>
      <c r="J39" s="30">
        <f t="shared" si="2"/>
        <v>10</v>
      </c>
      <c r="K39" s="6"/>
    </row>
    <row r="40" spans="1:11" ht="14.25">
      <c r="A40" s="19" t="s">
        <v>30</v>
      </c>
      <c r="B40" s="5" t="s">
        <v>56</v>
      </c>
      <c r="C40" s="24">
        <v>4.5</v>
      </c>
      <c r="D40" s="26">
        <f>1*C40*1.1</f>
        <v>5</v>
      </c>
      <c r="E40" s="27">
        <f t="shared" si="0"/>
        <v>3</v>
      </c>
      <c r="F40" s="22">
        <v>24</v>
      </c>
      <c r="G40" s="22">
        <v>6</v>
      </c>
      <c r="H40" s="27">
        <f t="shared" si="4"/>
        <v>22</v>
      </c>
      <c r="I40" s="27">
        <f t="shared" si="1"/>
        <v>1</v>
      </c>
      <c r="J40" s="30">
        <f t="shared" si="2"/>
        <v>10</v>
      </c>
      <c r="K40" s="6"/>
    </row>
    <row r="41" spans="1:11" ht="14.25">
      <c r="A41" s="19" t="s">
        <v>31</v>
      </c>
      <c r="B41" s="5" t="s">
        <v>55</v>
      </c>
      <c r="C41" s="24">
        <v>4.5</v>
      </c>
      <c r="D41" s="26">
        <f>16.8*C41*1.1</f>
        <v>83</v>
      </c>
      <c r="E41" s="27">
        <f t="shared" si="0"/>
        <v>3</v>
      </c>
      <c r="F41" s="22"/>
      <c r="G41" s="22">
        <v>8</v>
      </c>
      <c r="H41" s="27">
        <f>21*C41*1.1</f>
        <v>104</v>
      </c>
      <c r="I41" s="27">
        <f t="shared" si="1"/>
        <v>1</v>
      </c>
      <c r="J41" s="30">
        <f t="shared" si="2"/>
        <v>10</v>
      </c>
      <c r="K41" s="6"/>
    </row>
    <row r="42" spans="1:11" ht="14.25">
      <c r="A42" s="19" t="s">
        <v>32</v>
      </c>
      <c r="B42" s="5" t="s">
        <v>55</v>
      </c>
      <c r="C42" s="24">
        <v>7</v>
      </c>
      <c r="D42" s="26">
        <f>5.1*C42*1.1</f>
        <v>39</v>
      </c>
      <c r="E42" s="27">
        <f t="shared" si="0"/>
        <v>3</v>
      </c>
      <c r="F42" s="22">
        <v>26</v>
      </c>
      <c r="G42" s="22">
        <v>10</v>
      </c>
      <c r="H42" s="27">
        <f>4.6*C42*1.1</f>
        <v>35</v>
      </c>
      <c r="I42" s="27">
        <f t="shared" si="1"/>
        <v>1</v>
      </c>
      <c r="J42" s="30">
        <f t="shared" si="2"/>
        <v>15</v>
      </c>
      <c r="K42" s="6"/>
    </row>
    <row r="43" spans="1:11" ht="14.25">
      <c r="A43" s="19" t="s">
        <v>33</v>
      </c>
      <c r="B43" s="5" t="s">
        <v>55</v>
      </c>
      <c r="C43" s="24">
        <v>4</v>
      </c>
      <c r="D43" s="26">
        <f>0.85*C43*1.1</f>
        <v>4</v>
      </c>
      <c r="E43" s="27">
        <f t="shared" si="0"/>
        <v>3</v>
      </c>
      <c r="F43" s="22">
        <v>24</v>
      </c>
      <c r="G43" s="22">
        <v>5</v>
      </c>
      <c r="H43" s="27">
        <f t="shared" si="4"/>
        <v>20</v>
      </c>
      <c r="I43" s="27">
        <f t="shared" si="1"/>
        <v>1</v>
      </c>
      <c r="J43" s="30">
        <f t="shared" si="2"/>
        <v>9</v>
      </c>
      <c r="K43" s="6"/>
    </row>
    <row r="44" spans="1:11" ht="15" thickBot="1">
      <c r="A44" s="20" t="s">
        <v>34</v>
      </c>
      <c r="B44" s="21" t="s">
        <v>55</v>
      </c>
      <c r="C44" s="25">
        <v>4.5</v>
      </c>
      <c r="D44" s="26">
        <f>1.55*C44*1.1</f>
        <v>8</v>
      </c>
      <c r="E44" s="27">
        <f t="shared" si="0"/>
        <v>3</v>
      </c>
      <c r="F44" s="23">
        <v>45</v>
      </c>
      <c r="G44" s="23">
        <v>6</v>
      </c>
      <c r="H44" s="27">
        <f>6*C44*1.1</f>
        <v>30</v>
      </c>
      <c r="I44" s="27">
        <f t="shared" si="1"/>
        <v>1</v>
      </c>
      <c r="J44" s="30">
        <f t="shared" si="2"/>
        <v>10</v>
      </c>
      <c r="K44" s="6"/>
    </row>
    <row r="45" spans="1:10" ht="15.75" thickBot="1">
      <c r="A45" s="156" t="s">
        <v>53</v>
      </c>
      <c r="B45" s="157"/>
      <c r="C45" s="31">
        <f>SUM(C9:C44)</f>
        <v>167</v>
      </c>
      <c r="D45" s="31">
        <f aca="true" t="shared" si="5" ref="D45:J45">SUM(D9:D44)</f>
        <v>373</v>
      </c>
      <c r="E45" s="31">
        <f t="shared" si="5"/>
        <v>108</v>
      </c>
      <c r="F45" s="31">
        <f>SUM(F9:F44)</f>
        <v>908</v>
      </c>
      <c r="G45" s="31">
        <f t="shared" si="5"/>
        <v>222</v>
      </c>
      <c r="H45" s="31">
        <f t="shared" si="5"/>
        <v>941</v>
      </c>
      <c r="I45" s="31">
        <f t="shared" si="5"/>
        <v>36</v>
      </c>
      <c r="J45" s="31">
        <f t="shared" si="5"/>
        <v>369</v>
      </c>
    </row>
  </sheetData>
  <sheetProtection/>
  <mergeCells count="8">
    <mergeCell ref="J6:J7"/>
    <mergeCell ref="A45:B45"/>
    <mergeCell ref="B6:B7"/>
    <mergeCell ref="E6:E7"/>
    <mergeCell ref="F6:F7"/>
    <mergeCell ref="G6:G7"/>
    <mergeCell ref="H6:H7"/>
    <mergeCell ref="I6: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pzd</cp:lastModifiedBy>
  <cp:lastPrinted>2017-07-10T13:24:38Z</cp:lastPrinted>
  <dcterms:created xsi:type="dcterms:W3CDTF">2010-07-09T16:08:03Z</dcterms:created>
  <dcterms:modified xsi:type="dcterms:W3CDTF">2017-07-10T13:24:41Z</dcterms:modified>
  <cp:category/>
  <cp:version/>
  <cp:contentType/>
  <cp:contentStatus/>
</cp:coreProperties>
</file>